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32460" windowHeight="15240"/>
  </bookViews>
  <sheets>
    <sheet name="决策台" sheetId="1" r:id="rId1"/>
    <sheet name="精算成本 07-29" sheetId="2" r:id="rId2"/>
    <sheet name="方案对比" sheetId="3" r:id="rId3"/>
    <sheet name="情景分析" sheetId="4" r:id="rId4"/>
    <sheet name="铝价锁价" sheetId="5" r:id="rId5"/>
    <sheet name="外汇锁汇" sheetId="6" r:id="rId6"/>
    <sheet name="供应商清单" sheetId="7" r:id="rId7"/>
    <sheet name="使用说明" sheetId="8" r:id="rId8"/>
  </sheets>
  <definedNames>
    <definedName name="structure">决策台!$B$12</definedName>
    <definedName name="S">决策台!$B$13</definedName>
    <definedName name="yuj_pct">决策台!$B$14</definedName>
    <definedName name="hl_pct">决策台!$B$15</definedName>
    <definedName name="dg_pct">决策台!$B$16</definedName>
    <definedName name="target">决策台!$B$17</definedName>
    <definedName name="K_cost">决策台!$B$32</definedName>
    <definedName name="E_period">决策台!$B$33</definedName>
    <definedName name="I_input">决策台!$B$36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<sst xmlns="http://schemas.openxmlformats.org/spreadsheetml/2006/main" count="844" uniqueCount="624">
  <si>
    <t>TG2134 · Baniyas West 459 套 · 厂家定价决策系统</t>
  </si>
  <si>
    <t>2026-07-29 · 拖动黄色输入格 → 各层合同金额 + 国内工厂经济性 + 可行性判定实时计算</t>
  </si>
  <si>
    <t>项目基础信息</t>
  </si>
  <si>
    <t>项目</t>
  </si>
  <si>
    <t>BANIYAS WEST (1500) VILLAS · Abu Dhabi, UAE</t>
  </si>
  <si>
    <t>业主总包</t>
  </si>
  <si>
    <t>Trojan General Contracting LLC</t>
  </si>
  <si>
    <t>签约主体</t>
  </si>
  <si>
    <t>M/s YUJ Glass &amp; Aluminum Installation &amp; Maintenance L.L.C</t>
  </si>
  <si>
    <t>LOI Ref</t>
  </si>
  <si>
    <t>TG2134-LOI-003 · 2026-01-26</t>
  </si>
  <si>
    <t>项目规模</t>
  </si>
  <si>
    <t>459 套（Type A/B/C · Modern + Andalusian）</t>
  </si>
  <si>
    <t>参数设置（拖动黄色单元格调节）</t>
  </si>
  <si>
    <t>贸易链结构（3=三层 · 4=四层）</t>
  </si>
  <si>
    <t>输入 3 或 4：3=去上海浩律 · 4=含上海浩律</t>
  </si>
  <si>
    <t>业主合同 S（AED）</t>
  </si>
  <si>
    <t>Trojan → YUJ · LOI 已签金额</t>
  </si>
  <si>
    <t>YUJ 通道费 %</t>
  </si>
  <si>
    <t>建议 12~18%（含本地牌照 + DAR/ADHA + 履约 + 现场安装）</t>
  </si>
  <si>
    <t>上海浩律 %（仅四层生效）</t>
  </si>
  <si>
    <t>建议 1.0~2.0%（国内组盘 + 工厂协调）</t>
  </si>
  <si>
    <t>顶固 %（上市公司留存）</t>
  </si>
  <si>
    <t>建议 1.5~2.5%（跨境结汇 + LC + 物流协调）</t>
  </si>
  <si>
    <t>国内工厂目标净利率</t>
  </si>
  <si>
    <t>承诺基准（≥ 5% 为合规下限）</t>
  </si>
  <si>
    <t>各层合同金额（实时计算 · Trojan → YUJ → 上海浩律 → 顶固 → 国内工厂）</t>
  </si>
  <si>
    <t>层级 / 主体</t>
  </si>
  <si>
    <t>上游收入（AED）</t>
  </si>
  <si>
    <t>支付下游（AED）</t>
  </si>
  <si>
    <t>留存（AED）</t>
  </si>
  <si>
    <t>留存 % （层内）</t>
  </si>
  <si>
    <t>份额（占 S 比）</t>
  </si>
  <si>
    <t>备注</t>
  </si>
  <si>
    <t>Trojan（业主总包）</t>
  </si>
  <si>
    <t>—</t>
  </si>
  <si>
    <t>甲方付款</t>
  </si>
  <si>
    <t>YUJ</t>
  </si>
  <si>
    <t>本地牌照 + DAR/ADHA + 履约</t>
  </si>
  <si>
    <t>上海浩律（中间协调）</t>
  </si>
  <si>
    <t>顶固（上市公司留存）</t>
  </si>
  <si>
    <t>跨境结汇 + LC + 物流协调</t>
  </si>
  <si>
    <t>国内工厂（口径 · 按目标净利率）</t>
  </si>
  <si>
    <t>定价承诺利润</t>
  </si>
  <si>
    <t>国内工厂（实际税后净利）</t>
  </si>
  <si>
    <t>精算成本口径</t>
  </si>
  <si>
    <t>全链留存合计（YUJ + 上海浩律 + 顶固 + 国内工厂实际）</t>
  </si>
  <si>
    <t>全链合计（含工厂实际净利）</t>
  </si>
  <si>
    <t>国内工厂经济性详情（基于 2026-07-29 精算成本 · 见 精算成本 sheet）</t>
  </si>
  <si>
    <t>国内工厂收入（顶固支付到工厂）</t>
  </si>
  <si>
    <t>－ 直接成本（精算 · 固定）</t>
  </si>
  <si>
    <t>－ 期间费用（固定）</t>
  </si>
  <si>
    <t xml:space="preserve">  税负计算 ↓</t>
  </si>
  <si>
    <t xml:space="preserve">  增值税销项（收入 × 13%）</t>
  </si>
  <si>
    <t xml:space="preserve">  增值税进项抵扣（固定）</t>
  </si>
  <si>
    <t xml:space="preserve">  出口退税（收入 × 4.62%）</t>
  </si>
  <si>
    <t xml:space="preserve">  应纳税所得额（≈ 收入-成本-期间-VAT净）</t>
  </si>
  <si>
    <t xml:space="preserve">  企业所得税（应税 × 25%）</t>
  </si>
  <si>
    <t>－ 境内税负净额（销项-进项-退税+所得税）</t>
  </si>
  <si>
    <t>＝ 税后净利</t>
  </si>
  <si>
    <t>　  实际净利率（净利 ÷ 收入）</t>
  </si>
  <si>
    <t>　  与目标缓冲（实际净利率 − 目标）</t>
  </si>
  <si>
    <t>可行性判定（自动）</t>
  </si>
  <si>
    <t>5 档预设参考（手动复制到参数区）</t>
  </si>
  <si>
    <t>预设名称</t>
  </si>
  <si>
    <t>结构</t>
  </si>
  <si>
    <t>YUJ %</t>
  </si>
  <si>
    <t>上海浩律 %</t>
  </si>
  <si>
    <t>顶固 %</t>
  </si>
  <si>
    <t>目标净利</t>
  </si>
  <si>
    <t>说明</t>
  </si>
  <si>
    <t>方案一（四层）</t>
  </si>
  <si>
    <t>15.0%</t>
  </si>
  <si>
    <t>1.5%</t>
  </si>
  <si>
    <t>5.0%</t>
  </si>
  <si>
    <t>原始 LOI 方案 · 全链留存 21.65%</t>
  </si>
  <si>
    <t>方案二（三层 · 推荐）</t>
  </si>
  <si>
    <t>N/A</t>
  </si>
  <si>
    <t>2.0%</t>
  </si>
  <si>
    <t>去上海浩律 · 全链留存 20.87%</t>
  </si>
  <si>
    <t>保守（自己少让下游多）</t>
  </si>
  <si>
    <t>12.0%</t>
  </si>
  <si>
    <t>6.0%</t>
  </si>
  <si>
    <t>YUJ 让利提高工厂缓冲</t>
  </si>
  <si>
    <t>平衡</t>
  </si>
  <si>
    <t>2.5%</t>
  </si>
  <si>
    <t>5.5%</t>
  </si>
  <si>
    <t>各方均衡</t>
  </si>
  <si>
    <t>工厂友好</t>
  </si>
  <si>
    <t>13.0%</t>
  </si>
  <si>
    <t>7.0%</t>
  </si>
  <si>
    <t>增强下游粘性</t>
  </si>
  <si>
    <t>YUJ 收益最大</t>
  </si>
  <si>
    <t>20.0%</t>
  </si>
  <si>
    <t>1.0%</t>
  </si>
  <si>
    <t>上限试探</t>
  </si>
  <si>
    <t>国内工厂精准成本结构（2026-07-29 市价基准 · bottom-up）</t>
  </si>
  <si>
    <t>按 TG2134 实际 BOQ 拆分 · 2026-07-29 LME/SHFE/SCFI 市价 · 详见 国内工厂-精准成本结构.html</t>
  </si>
  <si>
    <t>数据基准（2026-07-29 · 参考来源）</t>
  </si>
  <si>
    <t>指标</t>
  </si>
  <si>
    <t>数值</t>
  </si>
  <si>
    <t>单位</t>
  </si>
  <si>
    <t>来源</t>
  </si>
  <si>
    <t>vs baseline</t>
  </si>
  <si>
    <t/>
  </si>
  <si>
    <t>LME 3M 铝</t>
  </si>
  <si>
    <t>USD/吨</t>
  </si>
  <si>
    <t>LME 官方 07-28 收盘</t>
  </si>
  <si>
    <t>+2.1%</t>
  </si>
  <si>
    <t>SHFE 沪铝主力</t>
  </si>
  <si>
    <t>¥/吨</t>
  </si>
  <si>
    <t>上期所 07-29 15:00</t>
  </si>
  <si>
    <t>长江有色 A00 现货</t>
  </si>
  <si>
    <t>长江有色金属网 07-29</t>
  </si>
  <si>
    <t>+2.5%</t>
  </si>
  <si>
    <t>USD/CNY 即期</t>
  </si>
  <si>
    <t>中国外汇交易中心</t>
  </si>
  <si>
    <t>-0.3%</t>
  </si>
  <si>
    <t>AED/USD</t>
  </si>
  <si>
    <t>UAE Central Bank</t>
  </si>
  <si>
    <t>固定</t>
  </si>
  <si>
    <t>联系汇率</t>
  </si>
  <si>
    <t>AED/CNY 折算</t>
  </si>
  <si>
    <t>3.6725 / 7.18 × 100</t>
  </si>
  <si>
    <t>-0.5%</t>
  </si>
  <si>
    <t>6063 挤压加工费</t>
  </si>
  <si>
    <t>有色金属工业协会</t>
  </si>
  <si>
    <t>+5.6%</t>
  </si>
  <si>
    <t>Qualicoat 2 级粉喷</t>
  </si>
  <si>
    <t>华南粉体涂料市价</t>
  </si>
  <si>
    <t>+3.8%</t>
  </si>
  <si>
    <t>氟碳 PVDF（门系统）</t>
  </si>
  <si>
    <t>同上</t>
  </si>
  <si>
    <t>+2.4%</t>
  </si>
  <si>
    <t>中空 Low-E 5+12A+5</t>
  </si>
  <si>
    <t>¥/m²</t>
  </si>
  <si>
    <t>玻璃深加工华东出厂</t>
  </si>
  <si>
    <t>-3.7%</t>
  </si>
  <si>
    <t>Low-E + PVB 5+12A+5.5.1.52</t>
  </si>
  <si>
    <t>-2.4%</t>
  </si>
  <si>
    <t>PVB 双钢化 12.12.4</t>
  </si>
  <si>
    <t>玻璃安全栏杆</t>
  </si>
  <si>
    <t>-2.8%</t>
  </si>
  <si>
    <t>SCFI 上海→Jebel Ali 40'HQ</t>
  </si>
  <si>
    <t>USD/柜</t>
  </si>
  <si>
    <t>SCFI 2026-07-25 期</t>
  </si>
  <si>
    <t>-14.3%</t>
  </si>
  <si>
    <t>6063 出口退税率</t>
  </si>
  <si>
    <t>财税〔2022〕7号</t>
  </si>
  <si>
    <t>持平</t>
  </si>
  <si>
    <t>型材单独退税</t>
  </si>
  <si>
    <t>建材成品综合退税率</t>
  </si>
  <si>
    <t>综合平均</t>
  </si>
  <si>
    <t>增值税率</t>
  </si>
  <si>
    <t>财政部</t>
  </si>
  <si>
    <t>企业所得税率</t>
  </si>
  <si>
    <t>企业所得税法</t>
  </si>
  <si>
    <t>铝型材精算（680 吨 · 4 类拆分）</t>
  </si>
  <si>
    <t>型材类别</t>
  </si>
  <si>
    <t>占比</t>
  </si>
  <si>
    <t>用量（吨）</t>
  </si>
  <si>
    <t>铝锭(¥/吨)</t>
  </si>
  <si>
    <t>加工+涂装(¥/吨)</t>
  </si>
  <si>
    <t>到岸单价(¥/吨)</t>
  </si>
  <si>
    <t>金额(AED)</t>
  </si>
  <si>
    <t>窗系统（平开+推拉）</t>
  </si>
  <si>
    <t>门系统（折叠+平开+推拉）</t>
  </si>
  <si>
    <t>栏杆型材</t>
  </si>
  <si>
    <t>装饰边框+百叶</t>
  </si>
  <si>
    <t>铝型材合计</t>
  </si>
  <si>
    <t>100.0%</t>
  </si>
  <si>
    <t>加权 34,857</t>
  </si>
  <si>
    <t>玻璃精算（17,800 m² · 4 类拆分）</t>
  </si>
  <si>
    <t>玻璃类别</t>
  </si>
  <si>
    <t>用量（m²）</t>
  </si>
  <si>
    <t>华东出厂(¥/m²)</t>
  </si>
  <si>
    <t>深加工+港杂</t>
  </si>
  <si>
    <t>到岸单价(¥/m²)</t>
  </si>
  <si>
    <t>窗玻璃（5+12A+5 Low-E）</t>
  </si>
  <si>
    <t>门玻璃（+ PVB 夹胶）</t>
  </si>
  <si>
    <t>栏杆玻璃（12.12.4 PVB）</t>
  </si>
  <si>
    <t>装饰玻璃（6mm 钢化 + 镀膜）</t>
  </si>
  <si>
    <t>玻璃合计</t>
  </si>
  <si>
    <t>加权 245</t>
  </si>
  <si>
    <t>其他材料 + 人工 + 运费（汇总）</t>
  </si>
  <si>
    <t>科目</t>
  </si>
  <si>
    <t>精算(AED)</t>
  </si>
  <si>
    <t>413 母本(AED)</t>
  </si>
  <si>
    <t>差额(AED)</t>
  </si>
  <si>
    <t>变化 %</t>
  </si>
  <si>
    <t>口径</t>
  </si>
  <si>
    <t>五金件（4,590 套）</t>
  </si>
  <si>
    <t>-10.8%</t>
  </si>
  <si>
    <t>国产 top-tier 替代</t>
  </si>
  <si>
    <t>坚朗/希美克/固力</t>
  </si>
  <si>
    <t>密封胶+辅材+防水</t>
  </si>
  <si>
    <t>-5.4%</t>
  </si>
  <si>
    <t>DMC 硅胶原料回落</t>
  </si>
  <si>
    <t>之江/安泰 vs 道康宁</t>
  </si>
  <si>
    <t>ACP 铝板+装饰</t>
  </si>
  <si>
    <t>-8.9%</t>
  </si>
  <si>
    <t>国产成熟供应</t>
  </si>
  <si>
    <t>上海华源/宏乾</t>
  </si>
  <si>
    <t>玻璃栏杆五金+钢围栏+摆门</t>
  </si>
  <si>
    <t>+11.0%</t>
  </si>
  <si>
    <t>304 不锈钢镍价涨</t>
  </si>
  <si>
    <t>【材料小计】</t>
  </si>
  <si>
    <t>-15.6%</t>
  </si>
  <si>
    <t>含玻璃精算修正</t>
  </si>
  <si>
    <t>重大差异见 §三</t>
  </si>
  <si>
    <t>车间人工+玻璃深加工+DAR</t>
  </si>
  <si>
    <t>+27.0%</t>
  </si>
  <si>
    <t>吸收玻璃深加工</t>
  </si>
  <si>
    <t>工资 +5.5%</t>
  </si>
  <si>
    <t>装柜+港口人工</t>
  </si>
  <si>
    <t>【人工小计】</t>
  </si>
  <si>
    <t>+24.0%</t>
  </si>
  <si>
    <t>内陆运输</t>
  </si>
  <si>
    <t>-37.6%</t>
  </si>
  <si>
    <t>公路运价疲软</t>
  </si>
  <si>
    <t>华东干线-15%</t>
  </si>
  <si>
    <t>海运+保险（含 THC/BAF）</t>
  </si>
  <si>
    <t>+64.5%</t>
  </si>
  <si>
    <t>413 母本漏计附加费</t>
  </si>
  <si>
    <t>SCFI $2,800/柜</t>
  </si>
  <si>
    <t>【运费小计】</t>
  </si>
  <si>
    <t>+15.7%</t>
  </si>
  <si>
    <t>🟢 直接成本精算合计（含铝型材 + 玻璃 + 其他）</t>
  </si>
  <si>
    <t>-11.2%</t>
  </si>
  <si>
    <t>→ 此金额锁定 决策台 B32</t>
  </si>
  <si>
    <t>方案一（四层）vs 方案二（三层）· 逐项对比</t>
  </si>
  <si>
    <t>贸易链结构</t>
  </si>
  <si>
    <t>项</t>
  </si>
  <si>
    <t>差异</t>
  </si>
  <si>
    <t>Trojan → YUJ → 上海浩律 → 顶固 → 国内工厂</t>
  </si>
  <si>
    <t>Trojan → YUJ → 顶固 → 国内工厂</t>
  </si>
  <si>
    <t>去除上海浩律层</t>
  </si>
  <si>
    <t>YUJ 留存</t>
  </si>
  <si>
    <t>15.00% · AED 4,859,015</t>
  </si>
  <si>
    <t>上海浩律</t>
  </si>
  <si>
    <t>1.5% · AED 413,016</t>
  </si>
  <si>
    <t>—（该层去除）</t>
  </si>
  <si>
    <t>-AED 413,016</t>
  </si>
  <si>
    <t>顶固</t>
  </si>
  <si>
    <t>1.5% · AED 406,821</t>
  </si>
  <si>
    <t>2.0% · AED 550,688</t>
  </si>
  <si>
    <t>+AED 143,867</t>
  </si>
  <si>
    <t>国内工厂出厂到岸</t>
  </si>
  <si>
    <t>AED 26,714,579</t>
  </si>
  <si>
    <t>AED 26,983,728</t>
  </si>
  <si>
    <t>+AED 269,149（多得空间）</t>
  </si>
  <si>
    <t>国内工厂 5% 口径利润</t>
  </si>
  <si>
    <t>AED 1,335,729</t>
  </si>
  <si>
    <t>AED 1,349,186</t>
  </si>
  <si>
    <t>+AED 13,458</t>
  </si>
  <si>
    <t>【全链留存合计】</t>
  </si>
  <si>
    <t>AED 7,014,581（21.65%）</t>
  </si>
  <si>
    <t>AED 6,758,889（20.87%）</t>
  </si>
  <si>
    <t>-AED 255,691（-0.78 pp）</t>
  </si>
  <si>
    <t>国内工厂 实际净利</t>
  </si>
  <si>
    <t>AED 1,559,753（5.84%）</t>
  </si>
  <si>
    <t>AED 1,739,059（6.44%）</t>
  </si>
  <si>
    <t>+AED 179,306（+0.60 pp）[达标]</t>
  </si>
  <si>
    <t>与 5% 承诺缓冲</t>
  </si>
  <si>
    <t>+0.84 pp（AED 22 万）</t>
  </si>
  <si>
    <t>+1.44 pp（AED 39 万）[达标]</t>
  </si>
  <si>
    <t>多 AED 17 万缓冲</t>
  </si>
  <si>
    <t>情境决策矩阵</t>
  </si>
  <si>
    <t>情境 / 谈判前提</t>
  </si>
  <si>
    <t>推荐方案</t>
  </si>
  <si>
    <t>逻辑</t>
  </si>
  <si>
    <t>上海浩律 与 顶固 是独立第三方 · 各自承担实质工作</t>
  </si>
  <si>
    <t>方案一</t>
  </si>
  <si>
    <t>保留上海浩律 1.5% 是对其协调价值的合理定价</t>
  </si>
  <si>
    <t>上海浩律职能可由顶固承接 · 顶固承担对价 2%</t>
  </si>
  <si>
    <t>方案二 [达标]</t>
  </si>
  <si>
    <t>顶固一层管到位，利益归属清晰</t>
  </si>
  <si>
    <t>国内工厂对 5% 利润要求硬性缓冲</t>
  </si>
  <si>
    <t>缓冲 1.44 pp 更稳健</t>
  </si>
  <si>
    <t>需要更多本地缓冲 / 中间层用于风险隔离</t>
  </si>
  <si>
    <t>上海浩律层可作为质量索赔 / 汇率波动的缓冲池</t>
  </si>
  <si>
    <t>YUJ 要求'结算越简单越好'</t>
  </si>
  <si>
    <t>少一层结算，账期与对账更清晰</t>
  </si>
  <si>
    <t>三档情景分析（Best / Base / Worst · 方案一为例）</t>
  </si>
  <si>
    <t>情景变量假设</t>
  </si>
  <si>
    <t>变量</t>
  </si>
  <si>
    <t>Best（乐观）</t>
  </si>
  <si>
    <t>Base（当前 07-29）</t>
  </si>
  <si>
    <t>Worst（悲观）</t>
  </si>
  <si>
    <t>$2,400 (-9.4%)</t>
  </si>
  <si>
    <t>$2,650</t>
  </si>
  <si>
    <t>$2,950 (+11.3%)</t>
  </si>
  <si>
    <t>USD/CNY</t>
  </si>
  <si>
    <t>7.30（人民币贬 1.7%）</t>
  </si>
  <si>
    <t>7.18</t>
  </si>
  <si>
    <t>6.95（人民币升 3.2%）</t>
  </si>
  <si>
    <t>SCFI Jebel Ali</t>
  </si>
  <si>
    <t>$2,300 (-17.9%)</t>
  </si>
  <si>
    <t>$2,800</t>
  </si>
  <si>
    <t>$3,600 (+28.6%)</t>
  </si>
  <si>
    <t>玻璃华东出厂价</t>
  </si>
  <si>
    <t>-8%</t>
  </si>
  <si>
    <t>基准</t>
  </si>
  <si>
    <t>+12%</t>
  </si>
  <si>
    <t>五金/密封胶</t>
  </si>
  <si>
    <t>-5%</t>
  </si>
  <si>
    <t>+8%</t>
  </si>
  <si>
    <t>情景结果（净利率 · 缓冲 · 判定）</t>
  </si>
  <si>
    <t>情景</t>
  </si>
  <si>
    <t>直接成本(AED)</t>
  </si>
  <si>
    <t>税前利润(AED)</t>
  </si>
  <si>
    <t>所得税(AED)</t>
  </si>
  <si>
    <t>税后净利(AED)</t>
  </si>
  <si>
    <t>净利率</t>
  </si>
  <si>
    <t>与 5% 缓冲</t>
  </si>
  <si>
    <t>判定</t>
  </si>
  <si>
    <t>18.05%</t>
  </si>
  <si>
    <t>+13.05 pp</t>
  </si>
  <si>
    <t>[达标] 绿灯（可让利）</t>
  </si>
  <si>
    <t>Base（当前）</t>
  </si>
  <si>
    <t>13.55%</t>
  </si>
  <si>
    <t>+8.55 pp</t>
  </si>
  <si>
    <t>[达标] 绿灯（达标）</t>
  </si>
  <si>
    <t>2.89%</t>
  </si>
  <si>
    <t>-2.11 pp</t>
  </si>
  <si>
    <t>[跌破] 红灯（跌破 5%）</t>
  </si>
  <si>
    <t>关键结论</t>
  </si>
  <si>
    <t>1. Base 情景下净利率 13.55%（方案一）/ 14.34%（方案二），远超 5% 承诺，缓冲充裕。</t>
  </si>
  <si>
    <t>2. Worst 情景下铝价+汇率+海运三杀，方案一净利率跌至 2.89%（跌破 5%），方案二亦仅 3.5%。</t>
  </si>
  <si>
    <t>3. Worst 情景是 §八 铝价锁价 + §九 外汇锁汇 必须执行 的量化依据。</t>
  </si>
  <si>
    <t>4. 对冲后（88% 铝锁 + 90% 汇锁 + 60% 海运长协）：Worst 净利率可拉回 9~10%，仍保 5% 承诺。</t>
  </si>
  <si>
    <t>5. 情景概率参考：Base 60% · Best 20% · Worst 20%（美联储加息路径 + 中美贸易政策为主要 X-factor）。</t>
  </si>
  <si>
    <t>铝价波动风险与锁价方案（680 吨 · 覆盖 88%）</t>
  </si>
  <si>
    <t>铝价波动敏感性</t>
  </si>
  <si>
    <t>LME 铝价变动</t>
  </si>
  <si>
    <t>铝锭部分成本变动</t>
  </si>
  <si>
    <t>项目总铝材成本变动</t>
  </si>
  <si>
    <t>吞噬利润率</t>
  </si>
  <si>
    <t>方案一净利率</t>
  </si>
  <si>
    <t>方案二净利率</t>
  </si>
  <si>
    <t>-10%</t>
  </si>
  <si>
    <t>-6.5%</t>
  </si>
  <si>
    <t>-AED 795K</t>
  </si>
  <si>
    <t>+2.98 pp</t>
  </si>
  <si>
    <t>8.82%</t>
  </si>
  <si>
    <t>9.42%</t>
  </si>
  <si>
    <t>[达标]</t>
  </si>
  <si>
    <t>-3.3%</t>
  </si>
  <si>
    <t>-AED 400K</t>
  </si>
  <si>
    <t>+1.49 pp</t>
  </si>
  <si>
    <t>7.33%</t>
  </si>
  <si>
    <t>7.93%</t>
  </si>
  <si>
    <t>持平（基准）</t>
  </si>
  <si>
    <t>0</t>
  </si>
  <si>
    <t>5.84%</t>
  </si>
  <si>
    <t>6.44%</t>
  </si>
  <si>
    <t>+5%</t>
  </si>
  <si>
    <t>+3.3%</t>
  </si>
  <si>
    <t>+AED 400K</t>
  </si>
  <si>
    <t>-1.49 pp</t>
  </si>
  <si>
    <t>4.35%</t>
  </si>
  <si>
    <t>4.95%</t>
  </si>
  <si>
    <t>[预警]</t>
  </si>
  <si>
    <t>+10%</t>
  </si>
  <si>
    <t>+6.5%</t>
  </si>
  <si>
    <t>+AED 795K</t>
  </si>
  <si>
    <t>-2.98 pp</t>
  </si>
  <si>
    <t>2.86%</t>
  </si>
  <si>
    <t>3.46%</t>
  </si>
  <si>
    <t>[跌破]</t>
  </si>
  <si>
    <t>+15%</t>
  </si>
  <si>
    <t>+9.8%</t>
  </si>
  <si>
    <t>+AED 1.19M</t>
  </si>
  <si>
    <t>-4.47 pp</t>
  </si>
  <si>
    <t>1.37%</t>
  </si>
  <si>
    <t>1.97%</t>
  </si>
  <si>
    <t>推荐锁价组合（680 吨 · 覆盖 88%）</t>
  </si>
  <si>
    <t>组合</t>
  </si>
  <si>
    <t>覆盖量(吨)</t>
  </si>
  <si>
    <t>覆盖 %</t>
  </si>
  <si>
    <t>工具</t>
  </si>
  <si>
    <t>现金/保证金</t>
  </si>
  <si>
    <t>折算 AED</t>
  </si>
  <si>
    <t>A · 供应商长单</t>
  </si>
  <si>
    <t>29%</t>
  </si>
  <si>
    <t>顶固签铝厂主协议 · 锁 ¥35,000/吨</t>
  </si>
  <si>
    <t>预付 30% × ¥7M = ¥210 万</t>
  </si>
  <si>
    <t>6M · 30% 定金</t>
  </si>
  <si>
    <t>B · SHFE 沪铝期货套保</t>
  </si>
  <si>
    <t>59%</t>
  </si>
  <si>
    <t>买 80 手（1 手=5 吨）多头</t>
  </si>
  <si>
    <t>12% 保证金 ¥98 万</t>
  </si>
  <si>
    <t>T+0~T+6 分批平仓</t>
  </si>
  <si>
    <t>C · 现货灵活采购</t>
  </si>
  <si>
    <t>12%</t>
  </si>
  <si>
    <t>应对规格变更 / 紧急补货</t>
  </si>
  <si>
    <t>项目现金流承担</t>
  </si>
  <si>
    <t>T+3 起启动</t>
  </si>
  <si>
    <t>【合计】</t>
  </si>
  <si>
    <t>100%</t>
  </si>
  <si>
    <t>88% 锁死</t>
  </si>
  <si>
    <t>¥308 万（$500)</t>
  </si>
  <si>
    <t>占用总额（AED 万）</t>
  </si>
  <si>
    <t>执行时点表</t>
  </si>
  <si>
    <t>时点</t>
  </si>
  <si>
    <t>动作</t>
  </si>
  <si>
    <t>责任方</t>
  </si>
  <si>
    <t>T0（LOI 签约）</t>
  </si>
  <si>
    <t>立即启动 A + B 锁价</t>
  </si>
  <si>
    <t>顶固资金部 + 采购部</t>
  </si>
  <si>
    <t>T+1 月</t>
  </si>
  <si>
    <t>完成 A（供应商合同签订 + 定金支付）</t>
  </si>
  <si>
    <t>顶固采购部</t>
  </si>
  <si>
    <t>T+1~T+6 月</t>
  </si>
  <si>
    <t>B 期货合约按交货节奏分批平仓（每月约 13 手）</t>
  </si>
  <si>
    <t>顶固资金部 + 券商</t>
  </si>
  <si>
    <t>T+3 月起</t>
  </si>
  <si>
    <t>C 现货采购启动</t>
  </si>
  <si>
    <t>国内工厂采购团队</t>
  </si>
  <si>
    <t>外汇风险与锁汇策略（USD 8.82M · 覆盖 90%）</t>
  </si>
  <si>
    <t>USD/CNY 波动敏感性</t>
  </si>
  <si>
    <t>人民币收入变动(¥)</t>
  </si>
  <si>
    <t>影响 AED</t>
  </si>
  <si>
    <t>影响利润率</t>
  </si>
  <si>
    <t>7.30（贬值 3.2%）</t>
  </si>
  <si>
    <t>+¥2.00M</t>
  </si>
  <si>
    <t>+AED 1.02M</t>
  </si>
  <si>
    <t>+3.82 pp</t>
  </si>
  <si>
    <t>9.66%</t>
  </si>
  <si>
    <t>10.26%</t>
  </si>
  <si>
    <t>7.15（贬值 1.1%）</t>
  </si>
  <si>
    <t>+¥0.71M</t>
  </si>
  <si>
    <t>+AED 361K</t>
  </si>
  <si>
    <t>+1.35 pp</t>
  </si>
  <si>
    <t>7.19%</t>
  </si>
  <si>
    <t>7.79%</t>
  </si>
  <si>
    <t>7.075（基准）</t>
  </si>
  <si>
    <t>6.90（升值 2.5%）</t>
  </si>
  <si>
    <t>-¥1.54M</t>
  </si>
  <si>
    <t>-AED 785K</t>
  </si>
  <si>
    <t>-2.94 pp</t>
  </si>
  <si>
    <t>2.90%</t>
  </si>
  <si>
    <t>3.50%</t>
  </si>
  <si>
    <t>6.80（升值 3.9%）</t>
  </si>
  <si>
    <t>-¥2.42M</t>
  </si>
  <si>
    <t>-AED 1.24M</t>
  </si>
  <si>
    <t>-4.63 pp</t>
  </si>
  <si>
    <t>1.21%</t>
  </si>
  <si>
    <t>1.81%</t>
  </si>
  <si>
    <t>6.60（升值 6.7%）</t>
  </si>
  <si>
    <t>-¥4.18M</t>
  </si>
  <si>
    <t>-AED 2.13M</t>
  </si>
  <si>
    <t>-7.97 pp</t>
  </si>
  <si>
    <t>-2.13%</t>
  </si>
  <si>
    <t>-1.53%</t>
  </si>
  <si>
    <t>[严重跌破]</t>
  </si>
  <si>
    <t>推荐锁汇组合（USD 8.82M · 分批锁 90%）</t>
  </si>
  <si>
    <t>分批</t>
  </si>
  <si>
    <t>金额(USD)</t>
  </si>
  <si>
    <t>锁定汇率</t>
  </si>
  <si>
    <t>到期日</t>
  </si>
  <si>
    <t>授信占用</t>
  </si>
  <si>
    <t>首批（30%）</t>
  </si>
  <si>
    <t>远期结汇 DF · 3M</t>
  </si>
  <si>
    <t>7.070</t>
  </si>
  <si>
    <t>T+3M</t>
  </si>
  <si>
    <t>USD 185K</t>
  </si>
  <si>
    <t>Trojan 首笔进度款到账后立即锁</t>
  </si>
  <si>
    <t>第二批（40%）</t>
  </si>
  <si>
    <t>期权 Zero-Cost Collar · 6M</t>
  </si>
  <si>
    <t>[7.00, 7.20]</t>
  </si>
  <si>
    <t>T+6M</t>
  </si>
  <si>
    <t>USD 353K</t>
  </si>
  <si>
    <t>保留 1.5 pp 升值空间</t>
  </si>
  <si>
    <t>第三批（20%）</t>
  </si>
  <si>
    <t>远期结汇 DF · 9M</t>
  </si>
  <si>
    <t>7.10</t>
  </si>
  <si>
    <t>T+9M</t>
  </si>
  <si>
    <t>USD 123K</t>
  </si>
  <si>
    <t>覆盖尾款</t>
  </si>
  <si>
    <t>弹性（10%）</t>
  </si>
  <si>
    <t>保留即期 spot 择机结</t>
  </si>
  <si>
    <t>市场价</t>
  </si>
  <si>
    <t>灵活</t>
  </si>
  <si>
    <t>无</t>
  </si>
  <si>
    <t>应对进度款延迟</t>
  </si>
  <si>
    <t>90% 锁死 + 10% 弹性</t>
  </si>
  <si>
    <t>加权 7.075</t>
  </si>
  <si>
    <t>USD 661K = AED 260 万</t>
  </si>
  <si>
    <t>占用银行授信非现金</t>
  </si>
  <si>
    <t>银行安排 + 执行时点</t>
  </si>
  <si>
    <t>与主办行申请汇率避险专项授信 USD 10M</t>
  </si>
  <si>
    <t>顶固财务部</t>
  </si>
  <si>
    <t>T+7 天</t>
  </si>
  <si>
    <t>完成授信落地 · 签署 ISDA 主协议 + 补充协议</t>
  </si>
  <si>
    <t>顶固财务 + 律师</t>
  </si>
  <si>
    <t>Trojan 首款到账</t>
  </si>
  <si>
    <t>执行首批远期锁（30%）</t>
  </si>
  <si>
    <t>顶固资金部</t>
  </si>
  <si>
    <t>第 2 期进度款</t>
  </si>
  <si>
    <t>执行第二批期权组合（40%）</t>
  </si>
  <si>
    <t>第 3 期进度款</t>
  </si>
  <si>
    <t>执行第三批远期锁（20%）</t>
  </si>
  <si>
    <t>每季度</t>
  </si>
  <si>
    <t>向上市公司审计委员会披露套保损益</t>
  </si>
  <si>
    <t>顶固董秘办</t>
  </si>
  <si>
    <t>供应商锁定清单（3 选 1 询价 · 2026-08 完成）</t>
  </si>
  <si>
    <t>建议供应商（品类 · 询价对象 · 锁定期 · 预付比例）</t>
  </si>
  <si>
    <t>品类</t>
  </si>
  <si>
    <t>建议供应商（3 选 1 询价）</t>
  </si>
  <si>
    <t>锁定期</t>
  </si>
  <si>
    <t>预付比例</t>
  </si>
  <si>
    <t>铝型材 · 窗系统</t>
  </si>
  <si>
    <t>广亚铝业 / 兴发铝业 / 忠旺（华南）</t>
  </si>
  <si>
    <t>6M</t>
  </si>
  <si>
    <t>30%</t>
  </si>
  <si>
    <t>6063-T5 · Qualicoat 2 级</t>
  </si>
  <si>
    <t>铝型材 · 门系统</t>
  </si>
  <si>
    <t>兴发铝业 / 亚铝 / 凤铝</t>
  </si>
  <si>
    <t>折叠+平开+推拉 · PVDF 涂层</t>
  </si>
  <si>
    <t>玻璃 · 窗玻璃</t>
  </si>
  <si>
    <t>信义玻璃 / 南玻 A / 福耀（华东）</t>
  </si>
  <si>
    <t>20%</t>
  </si>
  <si>
    <t>5+12A+5 Low-E 双钢化</t>
  </si>
  <si>
    <t>玻璃 · 门玻璃+栏杆</t>
  </si>
  <si>
    <t>信义玻璃 / 台玻 / 耀皮</t>
  </si>
  <si>
    <t>PVB 夹胶 · 安全栏杆</t>
  </si>
  <si>
    <t>五金 · 窗门</t>
  </si>
  <si>
    <t>坚朗五金 / 希美克 / 固力</t>
  </si>
  <si>
    <t>4M</t>
  </si>
  <si>
    <t>15%</t>
  </si>
  <si>
    <t>国产 top-tier · DAR 认证</t>
  </si>
  <si>
    <t>密封胶</t>
  </si>
  <si>
    <t>之江有机硅 / 安泰 / 白云</t>
  </si>
  <si>
    <t>3M</t>
  </si>
  <si>
    <t>10%</t>
  </si>
  <si>
    <t>结构胶+中性硅胶</t>
  </si>
  <si>
    <t>ACP</t>
  </si>
  <si>
    <t>上海华源 / 宏乾 / 吉祥</t>
  </si>
  <si>
    <t>4mm PVDF · 仿木纹</t>
  </si>
  <si>
    <t>顺丰供应链 / 京东物流 / 密尔克卫</t>
  </si>
  <si>
    <t>0（月结）</t>
  </si>
  <si>
    <t>华东 → 宁波北仑</t>
  </si>
  <si>
    <t>海运</t>
  </si>
  <si>
    <t>ONE / OOCL / EMC（Jebel Ali 长协）</t>
  </si>
  <si>
    <t>5% 舱位保证费</t>
  </si>
  <si>
    <t>SCFI 长协锁定</t>
  </si>
  <si>
    <t>精算与实际采购核对时点</t>
  </si>
  <si>
    <t>2026-08-15</t>
  </si>
  <si>
    <t>三家询价完成 · 精算按最低价刷新</t>
  </si>
  <si>
    <t>2026-09-01</t>
  </si>
  <si>
    <t>顶固 CFO 审核精算 · 决定是否上会披露</t>
  </si>
  <si>
    <t>2026-09-15</t>
  </si>
  <si>
    <t>与国内工厂签订正式采购合同（用精算价）</t>
  </si>
  <si>
    <t>2026-10-01</t>
  </si>
  <si>
    <t>首批铝锭到货 · 启动 §八 锁价套保</t>
  </si>
  <si>
    <t>2026-11-01</t>
  </si>
  <si>
    <t>Trojan 首笔进度款到账 · 启动 §九 锁汇</t>
  </si>
  <si>
    <t>每季度末</t>
  </si>
  <si>
    <t>精算 vs 实际采购差异分析 · 报审计委员会</t>
  </si>
  <si>
    <t>厂家定价决策系统 · 使用说明</t>
  </si>
  <si>
    <t>本系统为 YUJ 柴总提供上下游利润分配 + 各层合同金额一站决策 · 数据基准 2026-07-29</t>
  </si>
  <si>
    <t>Sheet 组织结构</t>
  </si>
  <si>
    <t>决策台</t>
  </si>
  <si>
    <t>主用 sheet · 拖动黄色输入格 → 各层合同金额 + 国内工厂经济性 + 可行性判定实时计算</t>
  </si>
  <si>
    <t>精算成本 07-29</t>
  </si>
  <si>
    <t>国内工厂精准成本 bottom-up 拆分 · 基于 2026-07-29 LME/SHFE/SCFI 市价</t>
  </si>
  <si>
    <t>方案对比</t>
  </si>
  <si>
    <t>方案一（四层）vs 方案二（三层）逐项对比 · 情境决策矩阵</t>
  </si>
  <si>
    <t>情景分析</t>
  </si>
  <si>
    <t>Best/Base/Worst 三档 · 净利率敏感性 · 关键结论</t>
  </si>
  <si>
    <t>铝价锁价</t>
  </si>
  <si>
    <t>铝价波动风险 + 88% 覆盖组合（长单 + 期货 + 现货）+ 执行时点</t>
  </si>
  <si>
    <t>外汇锁汇</t>
  </si>
  <si>
    <t>USD/CNY 敏感性 + 90% 覆盖组合（远期 + 期权 Collar）+ 银行安排</t>
  </si>
  <si>
    <t>供应商清单</t>
  </si>
  <si>
    <t>8 大品类建议供应商（3 选 1 询价）+ 锁定期/预付/精算核对时点</t>
  </si>
  <si>
    <t>使用说明</t>
  </si>
  <si>
    <t>本 sheet · 颜色约定 + 单元格类型 + 计算公式</t>
  </si>
  <si>
    <t>颜色约定</t>
  </si>
  <si>
    <t>黄色边框 · 黄色底</t>
  </si>
  <si>
    <t>用户可编辑的输入参数（决策台第 12-17 行）</t>
  </si>
  <si>
    <t>蓝色底（浅蓝）</t>
  </si>
  <si>
    <t>顶固层 / 中性输出</t>
  </si>
  <si>
    <t>红色底（浅红）</t>
  </si>
  <si>
    <t>YUJ 层收益（决策台第 22 行）</t>
  </si>
  <si>
    <t>绿色底（浅绿）</t>
  </si>
  <si>
    <t>国内工厂实际净利 · 达标 · 推荐方案</t>
  </si>
  <si>
    <t>琥珀色底</t>
  </si>
  <si>
    <t>国内工厂口径利润 · 汇总行 · 缓冲不足预警</t>
  </si>
  <si>
    <t>深红色</t>
  </si>
  <si>
    <t>跌破目标 · 需重新分配</t>
  </si>
  <si>
    <t>关键计算公式</t>
  </si>
  <si>
    <t>名称</t>
  </si>
  <si>
    <t>公式</t>
  </si>
  <si>
    <t>各层留存</t>
  </si>
  <si>
    <t>S × yuj_pct · (S × (1-yuj_pct)) × hl_pct · ...</t>
  </si>
  <si>
    <t>国内工厂收入</t>
  </si>
  <si>
    <t>顶固支付下游 = 上层收入 × (1 - dg_pct)</t>
  </si>
  <si>
    <t>境内税负净额</t>
  </si>
  <si>
    <t>销项(收入×13%) − 进项(2,395,000) − 出口退税(收入×4.62%) + 所得税(应税×25%)</t>
  </si>
  <si>
    <t>税后净利</t>
  </si>
  <si>
    <t>国内工厂收入 − 直接成本(22,053,198) − 期间费用(402,800) − 境内税负净额</t>
  </si>
  <si>
    <t>实际净利率</t>
  </si>
  <si>
    <t>税后净利 ÷ 国内工厂收入</t>
  </si>
  <si>
    <t>与目标缓冲</t>
  </si>
  <si>
    <t>实际净利率 − 目标净利率 · 单位 pp</t>
  </si>
  <si>
    <t>全链留存合计</t>
  </si>
  <si>
    <t>YUJ 留存 + 上海浩律留存 + 顶固留存 + 国内工厂实际净利</t>
  </si>
  <si>
    <t>Verdict 判定</t>
  </si>
  <si>
    <t>红灯（缓冲&lt;0）· 黄灯（0~2pp）· 绿灯（2~5pp）· 富余（&gt;5pp）</t>
  </si>
  <si>
    <t>版本 &amp; 数据源</t>
  </si>
  <si>
    <t>版本</t>
  </si>
  <si>
    <t>v1.0 · 2026-07-29</t>
  </si>
  <si>
    <t>编制</t>
  </si>
  <si>
    <t>Grace + 团队</t>
  </si>
  <si>
    <t>数据基准日</t>
  </si>
  <si>
    <t>2026-07-29 15:00 CST</t>
  </si>
  <si>
    <t>下次刷新</t>
  </si>
  <si>
    <t>2026-08-15（三家询价完成后）</t>
  </si>
  <si>
    <t>配套文档</t>
  </si>
  <si>
    <t>index.html · 贸易链-方案一/二 · 利润差异解读 · 精准成本结构 · YUJ 决策工具</t>
  </si>
  <si>
    <t>路径</t>
  </si>
  <si>
    <t>/Users/grace/18_go/construction-pms/1/顶固/contract/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</si>
</sst>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"/>
    <numFmt numFmtId="177" formatCode="0.0%"/>
    <numFmt numFmtId="178" formatCode="0.00\ &quot;pp&quot;"/>
  </numFmts>
  <fonts count="43">
    <font>
      <sz val="11"/>
      <color theme="1"/>
      <name val="宋体"/>
      <charset val="134"/>
      <scheme val="minor"/>
    </font>
    <font>
      <b/>
      <sz val="15"/>
      <color rgb="FFFFFFFF"/>
      <name val="PingFang SC"/>
      <charset val="134"/>
    </font>
    <font>
      <i/>
      <sz val="10"/>
      <color rgb="FF64748B"/>
      <name val="PingFang SC"/>
      <charset val="134"/>
    </font>
    <font>
      <b/>
      <sz val="12"/>
      <color rgb="FFFFFFFF"/>
      <name val="PingFang SC"/>
      <charset val="134"/>
    </font>
    <font>
      <b/>
      <sz val="10"/>
      <color rgb="FF1F2937"/>
      <name val="PingFang SC"/>
      <charset val="134"/>
    </font>
    <font>
      <sz val="10"/>
      <color rgb="FF1F2937"/>
      <name val="PingFang SC"/>
      <charset val="134"/>
    </font>
    <font>
      <b/>
      <sz val="10"/>
      <color rgb="FFFFFFFF"/>
      <name val="PingFang SC"/>
      <charset val="134"/>
    </font>
    <font>
      <sz val="9"/>
      <color rgb="FF1F2937"/>
      <name val="Menlo"/>
      <charset val="134"/>
    </font>
    <font>
      <b/>
      <sz val="11"/>
      <color rgb="FF92400E"/>
      <name val="PingFang SC"/>
      <charset val="134"/>
    </font>
    <font>
      <b/>
      <sz val="10"/>
      <color rgb="FF047857"/>
      <name val="PingFang SC"/>
      <charset val="134"/>
    </font>
    <font>
      <b/>
      <sz val="10"/>
      <color rgb="FF7F1D1D"/>
      <name val="PingFang SC"/>
      <charset val="134"/>
    </font>
    <font>
      <b/>
      <sz val="10"/>
      <color rgb="FF0F2540"/>
      <name val="PingFang SC"/>
      <charset val="134"/>
    </font>
    <font>
      <b/>
      <sz val="12"/>
      <color rgb="FF047857"/>
      <name val="PingFang SC"/>
      <charset val="134"/>
    </font>
    <font>
      <b/>
      <sz val="18"/>
      <color rgb="FFFFFFFF"/>
      <name val="PingFang SC"/>
      <charset val="134"/>
    </font>
    <font>
      <i/>
      <sz val="11"/>
      <color rgb="FF64748B"/>
      <name val="PingFang SC"/>
      <charset val="134"/>
    </font>
    <font>
      <b/>
      <sz val="11"/>
      <color rgb="FF1F2937"/>
      <name val="PingFang SC"/>
      <charset val="134"/>
    </font>
    <font>
      <i/>
      <sz val="9"/>
      <color rgb="FF64748B"/>
      <name val="PingFang SC"/>
      <charset val="134"/>
    </font>
    <font>
      <sz val="9"/>
      <color rgb="FF1F2937"/>
      <name val="PingFang SC"/>
      <charset val="134"/>
    </font>
    <font>
      <b/>
      <sz val="10"/>
      <color rgb="FF92400E"/>
      <name val="PingFang SC"/>
      <charset val="134"/>
    </font>
    <font>
      <sz val="10"/>
      <color rgb="FF047857"/>
      <name val="PingFang SC"/>
      <charset val="134"/>
    </font>
    <font>
      <sz val="9"/>
      <color rgb="FF047857"/>
      <name val="PingFang SC"/>
      <charset val="134"/>
    </font>
    <font>
      <b/>
      <sz val="9"/>
      <color rgb="FF1F2937"/>
      <name val="PingFang SC"/>
      <charset val="134"/>
    </font>
    <font>
      <b/>
      <sz val="13"/>
      <color rgb="FF1F2937"/>
      <name val="PingFang SC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46">
    <fill>
      <patternFill patternType="none"/>
    </fill>
    <fill>
      <patternFill patternType="gray125"/>
    </fill>
    <fill>
      <patternFill patternType="solid">
        <fgColor rgb="FF0F2540"/>
        <bgColor indexed="64"/>
      </patternFill>
    </fill>
    <fill>
      <patternFill patternType="solid">
        <fgColor rgb="FFF8FAFC"/>
        <bgColor indexed="64"/>
      </patternFill>
    </fill>
    <fill>
      <patternFill patternType="solid">
        <fgColor rgb="FF1E3A5F"/>
        <bgColor indexed="64"/>
      </patternFill>
    </fill>
    <fill>
      <patternFill patternType="solid">
        <fgColor rgb="FFFAFBFC"/>
        <bgColor indexed="64"/>
      </patternFill>
    </fill>
    <fill>
      <patternFill patternType="solid">
        <fgColor rgb="FFFDF6D6"/>
        <bgColor indexed="64"/>
      </patternFill>
    </fill>
    <fill>
      <patternFill patternType="solid">
        <fgColor rgb="FFE8ECF2"/>
        <bgColor indexed="64"/>
      </patternFill>
    </fill>
    <fill>
      <patternFill patternType="solid">
        <fgColor rgb="FFF6E9E9"/>
        <bgColor indexed="64"/>
      </patternFill>
    </fill>
    <fill>
      <patternFill patternType="solid">
        <fgColor rgb="FFEAF5EF"/>
        <bgColor indexed="64"/>
      </patternFill>
    </fill>
    <fill>
      <patternFill patternType="solid">
        <fgColor rgb="FFFDF3E5"/>
        <bgColor indexed="64"/>
      </patternFill>
    </fill>
    <fill>
      <patternFill patternType="solid">
        <fgColor rgb="FF7F1D1D"/>
        <bgColor indexed="64"/>
      </patternFill>
    </fill>
    <fill>
      <patternFill patternType="solid">
        <fgColor rgb="FFF1F5F9"/>
        <bgColor indexed="64"/>
      </patternFill>
    </fill>
    <fill>
      <patternFill patternType="solid">
        <fgColor rgb="FF92400E"/>
        <bgColor indexed="64"/>
      </patternFill>
    </fill>
    <fill>
      <patternFill patternType="solid">
        <fgColor rgb="FFFEF6E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medium">
        <color rgb="FF1E3A5F"/>
      </bottom>
      <diagonal/>
    </border>
    <border>
      <left style="thin">
        <color rgb="FF047857"/>
      </left>
      <right style="thin">
        <color rgb="FF047857"/>
      </right>
      <top style="medium">
        <color rgb="FF047857"/>
      </top>
      <bottom style="medium">
        <color rgb="FF047857"/>
      </bottom>
      <diagonal/>
    </border>
    <border>
      <left style="medium">
        <color rgb="FF92400E"/>
      </left>
      <right style="medium">
        <color rgb="FF92400E"/>
      </right>
      <top style="medium">
        <color rgb="FF92400E"/>
      </top>
      <bottom style="medium">
        <color rgb="FF92400E"/>
      </bottom>
      <diagonal/>
    </border>
    <border>
      <left style="medium">
        <color rgb="FF1E3A5F"/>
      </left>
      <right style="medium">
        <color rgb="FF1E3A5F"/>
      </right>
      <top style="medium">
        <color rgb="FF1E3A5F"/>
      </top>
      <bottom style="medium">
        <color rgb="FF1E3A5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3" fillId="0" borderId="0" applyFont="0" applyFill="0" applyBorder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42" fontId="23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3" fillId="15" borderId="6" applyNumberFormat="0" applyFon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7" applyNumberFormat="0" applyFill="0" applyAlignment="0" applyProtection="0">
      <alignment vertical="center"/>
    </xf>
    <xf numFmtId="0" fontId="30" fillId="0" borderId="7" applyNumberFormat="0" applyFill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16" borderId="9" applyNumberFormat="0" applyAlignment="0" applyProtection="0">
      <alignment vertical="center"/>
    </xf>
    <xf numFmtId="0" fontId="33" fillId="17" borderId="10" applyNumberFormat="0" applyAlignment="0" applyProtection="0">
      <alignment vertical="center"/>
    </xf>
    <xf numFmtId="0" fontId="34" fillId="17" borderId="9" applyNumberFormat="0" applyAlignment="0" applyProtection="0">
      <alignment vertical="center"/>
    </xf>
    <xf numFmtId="0" fontId="35" fillId="18" borderId="11" applyNumberFormat="0" applyAlignment="0" applyProtection="0">
      <alignment vertical="center"/>
    </xf>
    <xf numFmtId="0" fontId="36" fillId="0" borderId="12" applyNumberFormat="0" applyFill="0" applyAlignment="0" applyProtection="0">
      <alignment vertical="center"/>
    </xf>
    <xf numFmtId="0" fontId="37" fillId="0" borderId="13" applyNumberFormat="0" applyFill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41" fillId="22" borderId="0" applyNumberFormat="0" applyBorder="0" applyAlignment="0" applyProtection="0">
      <alignment vertical="center"/>
    </xf>
    <xf numFmtId="0" fontId="42" fillId="23" borderId="0" applyNumberFormat="0" applyBorder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2" fillId="27" borderId="0" applyNumberFormat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1" fillId="30" borderId="0" applyNumberFormat="0" applyBorder="0" applyAlignment="0" applyProtection="0">
      <alignment vertical="center"/>
    </xf>
    <xf numFmtId="0" fontId="42" fillId="31" borderId="0" applyNumberFormat="0" applyBorder="0" applyAlignment="0" applyProtection="0">
      <alignment vertical="center"/>
    </xf>
    <xf numFmtId="0" fontId="42" fillId="32" borderId="0" applyNumberFormat="0" applyBorder="0" applyAlignment="0" applyProtection="0">
      <alignment vertical="center"/>
    </xf>
    <xf numFmtId="0" fontId="41" fillId="33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  <xf numFmtId="0" fontId="42" fillId="35" borderId="0" applyNumberFormat="0" applyBorder="0" applyAlignment="0" applyProtection="0">
      <alignment vertical="center"/>
    </xf>
    <xf numFmtId="0" fontId="42" fillId="36" borderId="0" applyNumberFormat="0" applyBorder="0" applyAlignment="0" applyProtection="0">
      <alignment vertical="center"/>
    </xf>
    <xf numFmtId="0" fontId="41" fillId="37" borderId="0" applyNumberFormat="0" applyBorder="0" applyAlignment="0" applyProtection="0">
      <alignment vertical="center"/>
    </xf>
    <xf numFmtId="0" fontId="41" fillId="38" borderId="0" applyNumberFormat="0" applyBorder="0" applyAlignment="0" applyProtection="0">
      <alignment vertical="center"/>
    </xf>
    <xf numFmtId="0" fontId="42" fillId="39" borderId="0" applyNumberFormat="0" applyBorder="0" applyAlignment="0" applyProtection="0">
      <alignment vertical="center"/>
    </xf>
    <xf numFmtId="0" fontId="42" fillId="40" borderId="0" applyNumberFormat="0" applyBorder="0" applyAlignment="0" applyProtection="0">
      <alignment vertical="center"/>
    </xf>
    <xf numFmtId="0" fontId="41" fillId="41" borderId="0" applyNumberFormat="0" applyBorder="0" applyAlignment="0" applyProtection="0">
      <alignment vertical="center"/>
    </xf>
    <xf numFmtId="0" fontId="41" fillId="42" borderId="0" applyNumberFormat="0" applyBorder="0" applyAlignment="0" applyProtection="0">
      <alignment vertical="center"/>
    </xf>
    <xf numFmtId="0" fontId="42" fillId="43" borderId="0" applyNumberFormat="0" applyBorder="0" applyAlignment="0" applyProtection="0">
      <alignment vertical="center"/>
    </xf>
    <xf numFmtId="0" fontId="42" fillId="44" borderId="0" applyNumberFormat="0" applyBorder="0" applyAlignment="0" applyProtection="0">
      <alignment vertical="center"/>
    </xf>
    <xf numFmtId="0" fontId="41" fillId="45" borderId="0" applyNumberFormat="0" applyBorder="0" applyAlignment="0" applyProtection="0">
      <alignment vertical="center"/>
    </xf>
  </cellStyleXfs>
  <cellXfs count="119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3" fillId="4" borderId="0" xfId="0" applyFont="1" applyFill="1" applyAlignment="1">
      <alignment horizontal="left" vertical="center" wrapText="1" indent="1"/>
    </xf>
    <xf numFmtId="0" fontId="4" fillId="0" borderId="1" xfId="0" applyFont="1" applyBorder="1" applyAlignment="1">
      <alignment horizontal="left" vertical="top" wrapText="1" indent="1"/>
    </xf>
    <xf numFmtId="0" fontId="5" fillId="0" borderId="1" xfId="0" applyFont="1" applyBorder="1" applyAlignment="1">
      <alignment horizontal="left" vertical="top" wrapText="1" indent="1"/>
    </xf>
    <xf numFmtId="0" fontId="4" fillId="5" borderId="1" xfId="0" applyFont="1" applyFill="1" applyBorder="1" applyAlignment="1">
      <alignment horizontal="left" vertical="top" wrapText="1" indent="1"/>
    </xf>
    <xf numFmtId="0" fontId="5" fillId="5" borderId="1" xfId="0" applyFont="1" applyFill="1" applyBorder="1" applyAlignment="1">
      <alignment horizontal="left" vertical="top" wrapText="1" indent="1"/>
    </xf>
    <xf numFmtId="0" fontId="4" fillId="6" borderId="1" xfId="0" applyFont="1" applyFill="1" applyBorder="1" applyAlignment="1">
      <alignment horizontal="left" vertical="top" wrapText="1" indent="1"/>
    </xf>
    <xf numFmtId="0" fontId="4" fillId="7" borderId="1" xfId="0" applyFont="1" applyFill="1" applyBorder="1" applyAlignment="1">
      <alignment horizontal="left" vertical="top" wrapText="1" indent="1"/>
    </xf>
    <xf numFmtId="0" fontId="4" fillId="8" borderId="1" xfId="0" applyFont="1" applyFill="1" applyBorder="1" applyAlignment="1">
      <alignment horizontal="left" vertical="top" wrapText="1" indent="1"/>
    </xf>
    <xf numFmtId="0" fontId="4" fillId="9" borderId="1" xfId="0" applyFont="1" applyFill="1" applyBorder="1" applyAlignment="1">
      <alignment horizontal="left" vertical="top" wrapText="1" indent="1"/>
    </xf>
    <xf numFmtId="0" fontId="4" fillId="10" borderId="1" xfId="0" applyFont="1" applyFill="1" applyBorder="1" applyAlignment="1">
      <alignment horizontal="left" vertical="top" wrapText="1" indent="1"/>
    </xf>
    <xf numFmtId="0" fontId="6" fillId="11" borderId="1" xfId="0" applyFont="1" applyFill="1" applyBorder="1" applyAlignment="1">
      <alignment horizontal="left" vertical="top" wrapText="1" indent="1"/>
    </xf>
    <xf numFmtId="0" fontId="6" fillId="2" borderId="1" xfId="0" applyFont="1" applyFill="1" applyBorder="1" applyAlignment="1">
      <alignment horizontal="left" vertical="top" wrapText="1" indent="1"/>
    </xf>
    <xf numFmtId="0" fontId="7" fillId="5" borderId="1" xfId="0" applyFont="1" applyFill="1" applyBorder="1" applyAlignment="1">
      <alignment horizontal="left" vertical="top" wrapText="1" indent="1"/>
    </xf>
    <xf numFmtId="0" fontId="7" fillId="0" borderId="1" xfId="0" applyFont="1" applyBorder="1" applyAlignment="1">
      <alignment horizontal="left" vertical="top" wrapText="1" indent="1"/>
    </xf>
    <xf numFmtId="0" fontId="6" fillId="2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left" vertical="center" wrapText="1" indent="1"/>
    </xf>
    <xf numFmtId="0" fontId="5" fillId="5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 indent="1"/>
    </xf>
    <xf numFmtId="0" fontId="5" fillId="0" borderId="1" xfId="0" applyFont="1" applyBorder="1" applyAlignment="1">
      <alignment horizontal="center" vertical="center" wrapText="1"/>
    </xf>
    <xf numFmtId="0" fontId="6" fillId="2" borderId="0" xfId="0" applyFont="1" applyFill="1" applyAlignment="1">
      <alignment horizontal="left" vertical="top" wrapText="1" indent="1"/>
    </xf>
    <xf numFmtId="0" fontId="5" fillId="0" borderId="0" xfId="0" applyFont="1" applyAlignment="1">
      <alignment horizontal="left" vertical="top" wrapText="1" indent="1"/>
    </xf>
    <xf numFmtId="0" fontId="6" fillId="2" borderId="1" xfId="0" applyFont="1" applyFill="1" applyBorder="1" applyAlignment="1">
      <alignment horizontal="left" vertical="center" wrapText="1" indent="1"/>
    </xf>
    <xf numFmtId="0" fontId="5" fillId="9" borderId="1" xfId="0" applyFont="1" applyFill="1" applyBorder="1" applyAlignment="1">
      <alignment horizontal="left" vertical="center" wrapText="1" indent="1"/>
    </xf>
    <xf numFmtId="0" fontId="5" fillId="9" borderId="1" xfId="0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horizontal="left" vertical="center" wrapText="1" indent="1"/>
    </xf>
    <xf numFmtId="0" fontId="5" fillId="8" borderId="1" xfId="0" applyFont="1" applyFill="1" applyBorder="1" applyAlignment="1">
      <alignment horizontal="center" vertical="center" wrapText="1"/>
    </xf>
    <xf numFmtId="3" fontId="5" fillId="5" borderId="1" xfId="0" applyNumberFormat="1" applyFont="1" applyFill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 wrapText="1"/>
    </xf>
    <xf numFmtId="0" fontId="8" fillId="10" borderId="1" xfId="0" applyFont="1" applyFill="1" applyBorder="1" applyAlignment="1">
      <alignment horizontal="left" vertical="center" wrapText="1" indent="1"/>
    </xf>
    <xf numFmtId="3" fontId="8" fillId="10" borderId="1" xfId="0" applyNumberFormat="1" applyFont="1" applyFill="1" applyBorder="1" applyAlignment="1">
      <alignment horizontal="center" vertical="center" wrapText="1"/>
    </xf>
    <xf numFmtId="0" fontId="8" fillId="10" borderId="1" xfId="0" applyFont="1" applyFill="1" applyBorder="1" applyAlignment="1">
      <alignment horizontal="center" vertical="center" wrapText="1"/>
    </xf>
    <xf numFmtId="0" fontId="5" fillId="10" borderId="1" xfId="0" applyFont="1" applyFill="1" applyBorder="1" applyAlignment="1">
      <alignment horizontal="left" vertical="center" wrapText="1" indent="1"/>
    </xf>
    <xf numFmtId="0" fontId="5" fillId="10" borderId="1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5" fillId="9" borderId="1" xfId="0" applyFont="1" applyFill="1" applyBorder="1" applyAlignment="1">
      <alignment horizontal="left" vertical="top" wrapText="1" indent="1"/>
    </xf>
    <xf numFmtId="0" fontId="5" fillId="7" borderId="1" xfId="0" applyFont="1" applyFill="1" applyBorder="1" applyAlignment="1">
      <alignment horizontal="left" vertical="top" wrapText="1" indent="1"/>
    </xf>
    <xf numFmtId="0" fontId="5" fillId="8" borderId="1" xfId="0" applyFont="1" applyFill="1" applyBorder="1" applyAlignment="1">
      <alignment horizontal="left" vertical="top" wrapText="1" indent="1"/>
    </xf>
    <xf numFmtId="3" fontId="5" fillId="9" borderId="1" xfId="0" applyNumberFormat="1" applyFont="1" applyFill="1" applyBorder="1" applyAlignment="1">
      <alignment horizontal="right" vertical="center" wrapText="1"/>
    </xf>
    <xf numFmtId="0" fontId="5" fillId="9" borderId="1" xfId="0" applyFont="1" applyFill="1" applyBorder="1" applyAlignment="1">
      <alignment horizontal="right" vertical="center" wrapText="1"/>
    </xf>
    <xf numFmtId="0" fontId="9" fillId="9" borderId="1" xfId="0" applyFont="1" applyFill="1" applyBorder="1" applyAlignment="1">
      <alignment horizontal="right" vertical="center" wrapText="1"/>
    </xf>
    <xf numFmtId="3" fontId="5" fillId="8" borderId="1" xfId="0" applyNumberFormat="1" applyFont="1" applyFill="1" applyBorder="1" applyAlignment="1">
      <alignment horizontal="right" vertical="center" wrapText="1"/>
    </xf>
    <xf numFmtId="0" fontId="5" fillId="8" borderId="1" xfId="0" applyFont="1" applyFill="1" applyBorder="1" applyAlignment="1">
      <alignment horizontal="right" vertical="center" wrapText="1"/>
    </xf>
    <xf numFmtId="0" fontId="10" fillId="8" borderId="1" xfId="0" applyFont="1" applyFill="1" applyBorder="1" applyAlignment="1">
      <alignment horizontal="right" vertical="center" wrapText="1"/>
    </xf>
    <xf numFmtId="0" fontId="5" fillId="7" borderId="1" xfId="0" applyFont="1" applyFill="1" applyBorder="1" applyAlignment="1">
      <alignment horizontal="left" vertical="center" wrapText="1" indent="1"/>
    </xf>
    <xf numFmtId="0" fontId="9" fillId="9" borderId="1" xfId="0" applyFont="1" applyFill="1" applyBorder="1" applyAlignment="1">
      <alignment horizontal="left" vertical="top" wrapText="1" indent="1"/>
    </xf>
    <xf numFmtId="0" fontId="11" fillId="7" borderId="2" xfId="0" applyFont="1" applyFill="1" applyBorder="1" applyAlignment="1">
      <alignment horizontal="center" vertical="center" wrapText="1"/>
    </xf>
    <xf numFmtId="0" fontId="4" fillId="12" borderId="1" xfId="0" applyFont="1" applyFill="1" applyBorder="1" applyAlignment="1">
      <alignment horizontal="left" vertical="center" wrapText="1" indent="1"/>
    </xf>
    <xf numFmtId="3" fontId="5" fillId="0" borderId="1" xfId="0" applyNumberFormat="1" applyFont="1" applyBorder="1" applyAlignment="1">
      <alignment horizontal="right" vertical="center" wrapText="1"/>
    </xf>
    <xf numFmtId="3" fontId="5" fillId="5" borderId="1" xfId="0" applyNumberFormat="1" applyFont="1" applyFill="1" applyBorder="1" applyAlignment="1">
      <alignment horizontal="right" vertical="center" wrapText="1"/>
    </xf>
    <xf numFmtId="176" fontId="5" fillId="5" borderId="1" xfId="0" applyNumberFormat="1" applyFont="1" applyFill="1" applyBorder="1" applyAlignment="1">
      <alignment horizontal="right" vertical="center" wrapText="1"/>
    </xf>
    <xf numFmtId="176" fontId="5" fillId="0" borderId="1" xfId="0" applyNumberFormat="1" applyFont="1" applyBorder="1" applyAlignment="1">
      <alignment horizontal="right" vertical="center" wrapText="1"/>
    </xf>
    <xf numFmtId="10" fontId="5" fillId="5" borderId="1" xfId="0" applyNumberFormat="1" applyFont="1" applyFill="1" applyBorder="1" applyAlignment="1">
      <alignment horizontal="right" vertical="center" wrapText="1"/>
    </xf>
    <xf numFmtId="10" fontId="5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horizontal="left" vertical="center" wrapText="1" indent="1"/>
    </xf>
    <xf numFmtId="177" fontId="5" fillId="0" borderId="1" xfId="0" applyNumberFormat="1" applyFont="1" applyBorder="1" applyAlignment="1">
      <alignment horizontal="right" vertical="center" wrapText="1"/>
    </xf>
    <xf numFmtId="0" fontId="4" fillId="5" borderId="1" xfId="0" applyFont="1" applyFill="1" applyBorder="1" applyAlignment="1">
      <alignment horizontal="left" vertical="center" wrapText="1" indent="1"/>
    </xf>
    <xf numFmtId="177" fontId="5" fillId="5" borderId="1" xfId="0" applyNumberFormat="1" applyFont="1" applyFill="1" applyBorder="1" applyAlignment="1">
      <alignment horizontal="right" vertical="center" wrapText="1"/>
    </xf>
    <xf numFmtId="0" fontId="8" fillId="10" borderId="1" xfId="0" applyFont="1" applyFill="1" applyBorder="1" applyAlignment="1">
      <alignment horizontal="right" vertical="center" wrapText="1"/>
    </xf>
    <xf numFmtId="3" fontId="8" fillId="10" borderId="1" xfId="0" applyNumberFormat="1" applyFont="1" applyFill="1" applyBorder="1" applyAlignment="1">
      <alignment horizontal="right" vertical="center" wrapText="1"/>
    </xf>
    <xf numFmtId="0" fontId="8" fillId="10" borderId="1" xfId="0" applyFont="1" applyFill="1" applyBorder="1"/>
    <xf numFmtId="0" fontId="5" fillId="0" borderId="1" xfId="0" applyFont="1" applyBorder="1" applyAlignment="1">
      <alignment horizontal="right" vertical="center" wrapText="1"/>
    </xf>
    <xf numFmtId="0" fontId="5" fillId="5" borderId="1" xfId="0" applyFont="1" applyFill="1" applyBorder="1" applyAlignment="1">
      <alignment horizontal="right" vertical="center" wrapText="1"/>
    </xf>
    <xf numFmtId="0" fontId="12" fillId="9" borderId="3" xfId="0" applyFont="1" applyFill="1" applyBorder="1" applyAlignment="1">
      <alignment horizontal="left" vertical="center" wrapText="1" indent="1"/>
    </xf>
    <xf numFmtId="3" fontId="12" fillId="9" borderId="3" xfId="0" applyNumberFormat="1" applyFont="1" applyFill="1" applyBorder="1" applyAlignment="1">
      <alignment horizontal="right" vertical="center" wrapText="1"/>
    </xf>
    <xf numFmtId="0" fontId="12" fillId="9" borderId="3" xfId="0" applyFont="1" applyFill="1" applyBorder="1" applyAlignment="1">
      <alignment horizontal="right" vertical="center" wrapText="1"/>
    </xf>
    <xf numFmtId="0" fontId="12" fillId="9" borderId="3" xfId="0" applyFont="1" applyFill="1" applyBorder="1"/>
    <xf numFmtId="0" fontId="13" fillId="2" borderId="0" xfId="0" applyFont="1" applyFill="1" applyAlignment="1">
      <alignment horizontal="center" vertical="center" wrapText="1"/>
    </xf>
    <xf numFmtId="0" fontId="14" fillId="3" borderId="0" xfId="0" applyFont="1" applyFill="1" applyAlignment="1">
      <alignment horizontal="center" vertical="center" wrapText="1"/>
    </xf>
    <xf numFmtId="0" fontId="3" fillId="13" borderId="0" xfId="0" applyFont="1" applyFill="1" applyAlignment="1">
      <alignment horizontal="left" vertical="center" wrapText="1" indent="1"/>
    </xf>
    <xf numFmtId="1" fontId="15" fillId="6" borderId="4" xfId="0" applyNumberFormat="1" applyFont="1" applyFill="1" applyBorder="1" applyAlignment="1">
      <alignment horizontal="center" vertical="center" wrapText="1"/>
    </xf>
    <xf numFmtId="0" fontId="16" fillId="0" borderId="0" xfId="0" applyFont="1" applyAlignment="1">
      <alignment horizontal="left" vertical="center" wrapText="1" indent="1"/>
    </xf>
    <xf numFmtId="4" fontId="15" fillId="6" borderId="4" xfId="0" applyNumberFormat="1" applyFont="1" applyFill="1" applyBorder="1" applyAlignment="1">
      <alignment horizontal="center" vertical="center" wrapText="1"/>
    </xf>
    <xf numFmtId="10" fontId="15" fillId="6" borderId="4" xfId="0" applyNumberFormat="1" applyFont="1" applyFill="1" applyBorder="1" applyAlignment="1">
      <alignment horizontal="center" vertical="center" wrapText="1"/>
    </xf>
    <xf numFmtId="0" fontId="4" fillId="7" borderId="0" xfId="0" applyFont="1" applyFill="1" applyAlignment="1">
      <alignment horizontal="left" vertical="center" wrapText="1" indent="1"/>
    </xf>
    <xf numFmtId="49" fontId="5" fillId="7" borderId="1" xfId="0" applyNumberFormat="1" applyFont="1" applyFill="1" applyBorder="1" applyAlignment="1">
      <alignment horizontal="right" vertical="center" wrapText="1"/>
    </xf>
    <xf numFmtId="3" fontId="4" fillId="7" borderId="1" xfId="0" applyNumberFormat="1" applyFont="1" applyFill="1" applyBorder="1" applyAlignment="1">
      <alignment horizontal="right" vertical="center" wrapText="1"/>
    </xf>
    <xf numFmtId="0" fontId="17" fillId="7" borderId="1" xfId="0" applyFont="1" applyFill="1" applyBorder="1" applyAlignment="1">
      <alignment horizontal="left" vertical="center" wrapText="1" indent="1"/>
    </xf>
    <xf numFmtId="0" fontId="10" fillId="8" borderId="0" xfId="0" applyFont="1" applyFill="1" applyAlignment="1">
      <alignment horizontal="left" vertical="center" wrapText="1" indent="1"/>
    </xf>
    <xf numFmtId="3" fontId="10" fillId="8" borderId="1" xfId="0" applyNumberFormat="1" applyFont="1" applyFill="1" applyBorder="1" applyAlignment="1">
      <alignment horizontal="right" vertical="center" wrapText="1"/>
    </xf>
    <xf numFmtId="10" fontId="5" fillId="8" borderId="1" xfId="0" applyNumberFormat="1" applyFont="1" applyFill="1" applyBorder="1" applyAlignment="1">
      <alignment horizontal="right" vertical="center" wrapText="1"/>
    </xf>
    <xf numFmtId="10" fontId="4" fillId="8" borderId="1" xfId="0" applyNumberFormat="1" applyFont="1" applyFill="1" applyBorder="1" applyAlignment="1">
      <alignment horizontal="right" vertical="center" wrapText="1"/>
    </xf>
    <xf numFmtId="0" fontId="17" fillId="8" borderId="1" xfId="0" applyFont="1" applyFill="1" applyBorder="1" applyAlignment="1">
      <alignment horizontal="left" vertical="center" wrapText="1" indent="1"/>
    </xf>
    <xf numFmtId="0" fontId="4" fillId="12" borderId="0" xfId="0" applyFont="1" applyFill="1" applyAlignment="1">
      <alignment horizontal="left" vertical="center" wrapText="1" indent="1"/>
    </xf>
    <xf numFmtId="3" fontId="5" fillId="12" borderId="1" xfId="0" applyNumberFormat="1" applyFont="1" applyFill="1" applyBorder="1" applyAlignment="1">
      <alignment horizontal="right" vertical="center" wrapText="1"/>
    </xf>
    <xf numFmtId="10" fontId="5" fillId="12" borderId="1" xfId="0" applyNumberFormat="1" applyFont="1" applyFill="1" applyBorder="1" applyAlignment="1">
      <alignment horizontal="right" vertical="center" wrapText="1"/>
    </xf>
    <xf numFmtId="0" fontId="17" fillId="12" borderId="1" xfId="0" applyFont="1" applyFill="1" applyBorder="1" applyAlignment="1">
      <alignment horizontal="left" vertical="center" wrapText="1" indent="1"/>
    </xf>
    <xf numFmtId="3" fontId="5" fillId="7" borderId="1" xfId="0" applyNumberFormat="1" applyFont="1" applyFill="1" applyBorder="1" applyAlignment="1">
      <alignment horizontal="right" vertical="center" wrapText="1"/>
    </xf>
    <xf numFmtId="3" fontId="11" fillId="7" borderId="1" xfId="0" applyNumberFormat="1" applyFont="1" applyFill="1" applyBorder="1" applyAlignment="1">
      <alignment horizontal="right" vertical="center" wrapText="1"/>
    </xf>
    <xf numFmtId="10" fontId="5" fillId="7" borderId="1" xfId="0" applyNumberFormat="1" applyFont="1" applyFill="1" applyBorder="1" applyAlignment="1">
      <alignment horizontal="right" vertical="center" wrapText="1"/>
    </xf>
    <xf numFmtId="10" fontId="4" fillId="7" borderId="1" xfId="0" applyNumberFormat="1" applyFont="1" applyFill="1" applyBorder="1" applyAlignment="1">
      <alignment horizontal="right" vertical="center" wrapText="1"/>
    </xf>
    <xf numFmtId="0" fontId="4" fillId="10" borderId="0" xfId="0" applyFont="1" applyFill="1" applyAlignment="1">
      <alignment horizontal="left" vertical="center" wrapText="1" indent="1"/>
    </xf>
    <xf numFmtId="3" fontId="5" fillId="10" borderId="1" xfId="0" applyNumberFormat="1" applyFont="1" applyFill="1" applyBorder="1" applyAlignment="1">
      <alignment horizontal="right" vertical="center" wrapText="1"/>
    </xf>
    <xf numFmtId="3" fontId="18" fillId="10" borderId="1" xfId="0" applyNumberFormat="1" applyFont="1" applyFill="1" applyBorder="1" applyAlignment="1">
      <alignment horizontal="right" vertical="center" wrapText="1"/>
    </xf>
    <xf numFmtId="10" fontId="5" fillId="10" borderId="1" xfId="0" applyNumberFormat="1" applyFont="1" applyFill="1" applyBorder="1" applyAlignment="1">
      <alignment horizontal="right" vertical="center" wrapText="1"/>
    </xf>
    <xf numFmtId="0" fontId="17" fillId="10" borderId="1" xfId="0" applyFont="1" applyFill="1" applyBorder="1" applyAlignment="1">
      <alignment horizontal="left" vertical="center" wrapText="1" indent="1"/>
    </xf>
    <xf numFmtId="0" fontId="9" fillId="9" borderId="0" xfId="0" applyFont="1" applyFill="1" applyAlignment="1">
      <alignment horizontal="left" vertical="center" wrapText="1" indent="1"/>
    </xf>
    <xf numFmtId="3" fontId="9" fillId="9" borderId="1" xfId="0" applyNumberFormat="1" applyFont="1" applyFill="1" applyBorder="1" applyAlignment="1">
      <alignment horizontal="right" vertical="center" wrapText="1"/>
    </xf>
    <xf numFmtId="10" fontId="9" fillId="9" borderId="1" xfId="0" applyNumberFormat="1" applyFont="1" applyFill="1" applyBorder="1" applyAlignment="1">
      <alignment horizontal="right" vertical="center" wrapText="1"/>
    </xf>
    <xf numFmtId="10" fontId="19" fillId="9" borderId="1" xfId="0" applyNumberFormat="1" applyFont="1" applyFill="1" applyBorder="1" applyAlignment="1">
      <alignment horizontal="right" vertical="center" wrapText="1"/>
    </xf>
    <xf numFmtId="0" fontId="20" fillId="9" borderId="1" xfId="0" applyFont="1" applyFill="1" applyBorder="1" applyAlignment="1">
      <alignment horizontal="left" vertical="center" wrapText="1" indent="1"/>
    </xf>
    <xf numFmtId="0" fontId="4" fillId="14" borderId="0" xfId="0" applyFont="1" applyFill="1" applyAlignment="1">
      <alignment horizontal="left" vertical="center" wrapText="1" indent="1"/>
    </xf>
    <xf numFmtId="49" fontId="5" fillId="14" borderId="1" xfId="0" applyNumberFormat="1" applyFont="1" applyFill="1" applyBorder="1" applyAlignment="1">
      <alignment horizontal="right" vertical="center" wrapText="1"/>
    </xf>
    <xf numFmtId="3" fontId="18" fillId="14" borderId="1" xfId="0" applyNumberFormat="1" applyFont="1" applyFill="1" applyBorder="1" applyAlignment="1">
      <alignment horizontal="right" vertical="center" wrapText="1"/>
    </xf>
    <xf numFmtId="10" fontId="18" fillId="14" borderId="1" xfId="0" applyNumberFormat="1" applyFont="1" applyFill="1" applyBorder="1" applyAlignment="1">
      <alignment horizontal="right" vertical="center" wrapText="1"/>
    </xf>
    <xf numFmtId="0" fontId="21" fillId="14" borderId="1" xfId="0" applyFont="1" applyFill="1" applyBorder="1" applyAlignment="1">
      <alignment horizontal="left" vertical="center" wrapText="1" indent="1"/>
    </xf>
    <xf numFmtId="0" fontId="5" fillId="12" borderId="1" xfId="0" applyFont="1" applyFill="1" applyBorder="1" applyAlignment="1">
      <alignment horizontal="left" vertical="center" wrapText="1" indent="1"/>
    </xf>
    <xf numFmtId="0" fontId="4" fillId="7" borderId="1" xfId="0" applyFont="1" applyFill="1" applyBorder="1" applyAlignment="1">
      <alignment horizontal="left" vertical="center" wrapText="1" indent="1"/>
    </xf>
    <xf numFmtId="0" fontId="0" fillId="7" borderId="0" xfId="0" applyFill="1"/>
    <xf numFmtId="0" fontId="4" fillId="10" borderId="1" xfId="0" applyFont="1" applyFill="1" applyBorder="1" applyAlignment="1">
      <alignment horizontal="left" vertical="center" wrapText="1" indent="1"/>
    </xf>
    <xf numFmtId="3" fontId="4" fillId="10" borderId="1" xfId="0" applyNumberFormat="1" applyFont="1" applyFill="1" applyBorder="1" applyAlignment="1">
      <alignment horizontal="right" vertical="center" wrapText="1"/>
    </xf>
    <xf numFmtId="0" fontId="4" fillId="9" borderId="1" xfId="0" applyFont="1" applyFill="1" applyBorder="1" applyAlignment="1">
      <alignment horizontal="left" vertical="center" wrapText="1" indent="1"/>
    </xf>
    <xf numFmtId="3" fontId="4" fillId="9" borderId="1" xfId="0" applyNumberFormat="1" applyFont="1" applyFill="1" applyBorder="1" applyAlignment="1">
      <alignment horizontal="right" vertical="center" wrapText="1"/>
    </xf>
    <xf numFmtId="10" fontId="4" fillId="9" borderId="1" xfId="0" applyNumberFormat="1" applyFont="1" applyFill="1" applyBorder="1" applyAlignment="1">
      <alignment horizontal="right" vertical="center" wrapText="1"/>
    </xf>
    <xf numFmtId="178" fontId="4" fillId="0" borderId="1" xfId="0" applyNumberFormat="1" applyFont="1" applyBorder="1" applyAlignment="1">
      <alignment horizontal="right" vertical="center" wrapText="1"/>
    </xf>
    <xf numFmtId="0" fontId="22" fillId="7" borderId="5" xfId="0" applyFont="1" applyFill="1" applyBorder="1" applyAlignment="1">
      <alignment horizontal="left" vertical="center" wrapText="1" indent="2"/>
    </xf>
    <xf numFmtId="0" fontId="11" fillId="7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3">
    <dxf>
      <font>
        <name val="PingFang SC"/>
        <scheme val="none"/>
        <b val="1"/>
        <sz val="13"/>
        <color rgb="FF7F1D1D"/>
      </font>
      <fill>
        <patternFill patternType="solid">
          <fgColor rgb="FFF6E9E9"/>
        </patternFill>
      </fill>
    </dxf>
    <dxf>
      <font>
        <name val="PingFang SC"/>
        <scheme val="none"/>
        <b val="1"/>
        <sz val="13"/>
        <color rgb="FF92400E"/>
      </font>
      <fill>
        <patternFill patternType="solid">
          <fgColor rgb="FFFDF3E5"/>
        </patternFill>
      </fill>
    </dxf>
    <dxf>
      <font>
        <name val="PingFang SC"/>
        <scheme val="none"/>
        <b val="1"/>
        <sz val="13"/>
        <color rgb="FF047857"/>
      </font>
      <fill>
        <patternFill patternType="solid">
          <fgColor rgb="FFEAF5EF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tyles" Target="styles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1E3A5F"/>
  </sheetPr>
  <dimension ref="A1:G55"/>
  <sheetViews>
    <sheetView showGridLines="0" tabSelected="1" workbookViewId="0">
      <pane ySplit="10" topLeftCell="A27" activePane="bottomLeft" state="frozen"/>
      <selection/>
      <selection pane="bottomLeft" activeCell="D36" sqref="D36"/>
    </sheetView>
  </sheetViews>
  <sheetFormatPr defaultColWidth="9" defaultRowHeight="16.8" outlineLevelCol="6"/>
  <cols>
    <col min="1" max="1" width="52.7211538461538" customWidth="1"/>
    <col min="2" max="6" width="20" customWidth="1"/>
    <col min="7" max="7" width="22" customWidth="1"/>
  </cols>
  <sheetData>
    <row r="1" ht="40" customHeight="1" spans="1:3">
      <c r="A1" s="69" t="s">
        <v>0</v>
      </c>
    </row>
    <row r="2" ht="22" customHeight="1" spans="1:3">
      <c r="A2" s="70" t="s">
        <v>1</v>
      </c>
    </row>
    <row r="4" ht="26" customHeight="1" spans="1:3">
      <c r="A4" s="3" t="s">
        <v>2</v>
      </c>
    </row>
    <row r="5" spans="1:3">
      <c r="A5" s="49" t="s">
        <v>3</v>
      </c>
      <c r="B5" s="20" t="s">
        <v>4</v>
      </c>
    </row>
    <row r="6" spans="1:3">
      <c r="A6" s="49" t="s">
        <v>5</v>
      </c>
      <c r="B6" s="20" t="s">
        <v>6</v>
      </c>
    </row>
    <row r="7" spans="1:3">
      <c r="A7" s="49" t="s">
        <v>7</v>
      </c>
      <c r="B7" s="20" t="s">
        <v>8</v>
      </c>
    </row>
    <row r="8" spans="1:3">
      <c r="A8" s="49" t="s">
        <v>9</v>
      </c>
      <c r="B8" s="20" t="s">
        <v>10</v>
      </c>
    </row>
    <row r="9" spans="1:3">
      <c r="A9" s="49" t="s">
        <v>11</v>
      </c>
      <c r="B9" s="20" t="s">
        <v>12</v>
      </c>
    </row>
    <row r="11" ht="26" customHeight="1" spans="1:3">
      <c r="A11" s="71" t="s">
        <v>13</v>
      </c>
    </row>
    <row r="12" ht="20" customHeight="1" spans="1:3">
      <c r="A12" s="49" t="s">
        <v>14</v>
      </c>
      <c r="B12" s="72">
        <v>3</v>
      </c>
      <c r="C12" s="73" t="s">
        <v>15</v>
      </c>
    </row>
    <row r="13" ht="20" customHeight="1" spans="1:3">
      <c r="A13" s="49" t="s">
        <v>16</v>
      </c>
      <c r="B13" s="74">
        <v>32393430.9</v>
      </c>
      <c r="C13" s="73" t="s">
        <v>17</v>
      </c>
    </row>
    <row r="14" ht="20" customHeight="1" spans="1:3">
      <c r="A14" s="49" t="s">
        <v>18</v>
      </c>
      <c r="B14" s="75">
        <v>0.15</v>
      </c>
      <c r="C14" s="73" t="s">
        <v>19</v>
      </c>
    </row>
    <row r="15" ht="20" customHeight="1" spans="1:3">
      <c r="A15" s="49" t="s">
        <v>20</v>
      </c>
      <c r="B15" s="75">
        <v>0.015</v>
      </c>
      <c r="C15" s="73" t="s">
        <v>21</v>
      </c>
    </row>
    <row r="16" ht="20" customHeight="1" spans="1:3">
      <c r="A16" s="49" t="s">
        <v>22</v>
      </c>
      <c r="B16" s="75">
        <v>0.02</v>
      </c>
      <c r="C16" s="73" t="s">
        <v>23</v>
      </c>
    </row>
    <row r="17" ht="20" customHeight="1" spans="1:7">
      <c r="A17" s="49" t="s">
        <v>24</v>
      </c>
      <c r="B17" s="75">
        <v>0.05</v>
      </c>
      <c r="C17" s="73" t="s">
        <v>25</v>
      </c>
    </row>
    <row r="19" ht="26" customHeight="1" spans="1:7">
      <c r="A19" s="3" t="s">
        <v>26</v>
      </c>
    </row>
    <row r="20" ht="22" customHeight="1" spans="1:7">
      <c r="A20" s="48" t="s">
        <v>27</v>
      </c>
      <c r="B20" s="48" t="s">
        <v>28</v>
      </c>
      <c r="C20" s="48" t="s">
        <v>29</v>
      </c>
      <c r="D20" s="48" t="s">
        <v>30</v>
      </c>
      <c r="E20" s="48" t="s">
        <v>31</v>
      </c>
      <c r="F20" s="48" t="s">
        <v>32</v>
      </c>
      <c r="G20" s="48" t="s">
        <v>33</v>
      </c>
    </row>
    <row r="21" spans="1:7">
      <c r="A21" s="76" t="s">
        <v>34</v>
      </c>
      <c r="B21" s="77" t="s">
        <v>35</v>
      </c>
      <c r="C21" s="78">
        <f>S</f>
        <v>32393430.9</v>
      </c>
      <c r="D21" s="77" t="s">
        <v>35</v>
      </c>
      <c r="E21" s="77" t="s">
        <v>35</v>
      </c>
      <c r="F21" s="77" t="s">
        <v>35</v>
      </c>
      <c r="G21" s="79" t="s">
        <v>36</v>
      </c>
    </row>
    <row r="22" ht="28" spans="1:7">
      <c r="A22" s="80" t="s">
        <v>37</v>
      </c>
      <c r="B22" s="43">
        <f>S</f>
        <v>32393430.9</v>
      </c>
      <c r="C22" s="43">
        <f>S*(1-yuj_pct)</f>
        <v>27534416.265</v>
      </c>
      <c r="D22" s="81">
        <f>S*yuj_pct</f>
        <v>4859014.635</v>
      </c>
      <c r="E22" s="82">
        <f>yuj_pct</f>
        <v>0.15</v>
      </c>
      <c r="F22" s="83">
        <f>yuj_pct</f>
        <v>0.15</v>
      </c>
      <c r="G22" s="84" t="s">
        <v>38</v>
      </c>
    </row>
    <row r="23" spans="1:7">
      <c r="A23" s="85" t="s">
        <v>39</v>
      </c>
      <c r="B23" s="86">
        <f>IF(structure=4,S*(1-yuj_pct),0)</f>
        <v>0</v>
      </c>
      <c r="C23" s="86">
        <f>IF(structure=4,S*(1-yuj_pct)*(1-hl_pct),0)</f>
        <v>0</v>
      </c>
      <c r="D23" s="86">
        <f>IF(structure=4,S*(1-yuj_pct)*hl_pct,0)</f>
        <v>0</v>
      </c>
      <c r="E23" s="87" t="str">
        <f>IF(structure=4,hl_pct,"N/A")</f>
        <v>N/A</v>
      </c>
      <c r="F23" s="87" t="str">
        <f>IF(structure=4,S*(1-yuj_pct)*hl_pct/S,"N/A")</f>
        <v>N/A</v>
      </c>
      <c r="G23" s="88" t="str">
        <f>IF(structure=4,"1.5% 协调费","该层去除（三层结构）")</f>
        <v>该层去除（三层结构）</v>
      </c>
    </row>
    <row r="24" ht="28" spans="1:7">
      <c r="A24" s="76" t="s">
        <v>40</v>
      </c>
      <c r="B24" s="89">
        <f>IF(structure=4,C23,C22)</f>
        <v>27534416.265</v>
      </c>
      <c r="C24" s="89">
        <f>B24*(1-dg_pct)</f>
        <v>26983727.9397</v>
      </c>
      <c r="D24" s="90">
        <f>B24*dg_pct</f>
        <v>550688.3253</v>
      </c>
      <c r="E24" s="91">
        <f>dg_pct</f>
        <v>0.02</v>
      </c>
      <c r="F24" s="92">
        <f>D24/S</f>
        <v>0.017</v>
      </c>
      <c r="G24" s="79" t="s">
        <v>41</v>
      </c>
    </row>
    <row r="25" ht="31" spans="1:7">
      <c r="A25" s="93" t="s">
        <v>42</v>
      </c>
      <c r="B25" s="94">
        <f>C24</f>
        <v>26983727.9397</v>
      </c>
      <c r="C25" s="94">
        <f>B25*(1-target)</f>
        <v>25634541.542715</v>
      </c>
      <c r="D25" s="95">
        <f>B25*target</f>
        <v>1349186.396985</v>
      </c>
      <c r="E25" s="96">
        <f>target</f>
        <v>0.05</v>
      </c>
      <c r="F25" s="96">
        <f>D25/S</f>
        <v>0.04165</v>
      </c>
      <c r="G25" s="97" t="s">
        <v>43</v>
      </c>
    </row>
    <row r="26" ht="31" spans="1:7">
      <c r="A26" s="98" t="s">
        <v>44</v>
      </c>
      <c r="B26" s="40">
        <f>C24</f>
        <v>26983727.9397</v>
      </c>
      <c r="C26" s="40">
        <f>B26-D26</f>
        <v>1649448.23081414</v>
      </c>
      <c r="D26" s="99">
        <f>B26-K_cost-E_period-B36</f>
        <v>25334279.7088859</v>
      </c>
      <c r="E26" s="100">
        <f>D26/B26</f>
        <v>0.938872485132517</v>
      </c>
      <c r="F26" s="101">
        <f>D26/S</f>
        <v>0.782080780115386</v>
      </c>
      <c r="G26" s="102" t="s">
        <v>45</v>
      </c>
    </row>
    <row r="27" ht="46" spans="1:7">
      <c r="A27" s="103" t="s">
        <v>46</v>
      </c>
      <c r="B27" s="104" t="s">
        <v>35</v>
      </c>
      <c r="C27" s="104" t="s">
        <v>35</v>
      </c>
      <c r="D27" s="105">
        <f>D22+D23+D24+D26</f>
        <v>30743982.6691859</v>
      </c>
      <c r="E27" s="104" t="s">
        <v>35</v>
      </c>
      <c r="F27" s="106">
        <f>D27/S</f>
        <v>0.949080780115386</v>
      </c>
      <c r="G27" s="107" t="s">
        <v>47</v>
      </c>
    </row>
    <row r="29" ht="26" customHeight="1" spans="1:7">
      <c r="A29" s="3" t="s">
        <v>48</v>
      </c>
    </row>
    <row r="30" ht="31" spans="1:7">
      <c r="A30" s="108" t="s">
        <v>49</v>
      </c>
      <c r="B30" s="50">
        <f>B26</f>
        <v>26983727.9397</v>
      </c>
    </row>
    <row r="31" ht="31" spans="1:7">
      <c r="A31" s="108" t="s">
        <v>50</v>
      </c>
      <c r="B31" s="86">
        <v>22053198</v>
      </c>
    </row>
    <row r="32" spans="1:7">
      <c r="A32" s="108" t="s">
        <v>51</v>
      </c>
      <c r="B32" s="86">
        <v>402800</v>
      </c>
    </row>
    <row r="33" spans="1:2">
      <c r="A33" s="109" t="s">
        <v>52</v>
      </c>
      <c r="B33" s="110"/>
    </row>
    <row r="34" ht="31" spans="1:2">
      <c r="A34" s="20" t="s">
        <v>53</v>
      </c>
      <c r="B34" s="50">
        <f>B30*13%</f>
        <v>3507884.632161</v>
      </c>
    </row>
    <row r="35" spans="1:2">
      <c r="A35" s="108" t="s">
        <v>54</v>
      </c>
      <c r="B35" s="86">
        <v>2395000</v>
      </c>
    </row>
    <row r="36" ht="31" spans="1:2">
      <c r="A36" s="20" t="s">
        <v>55</v>
      </c>
      <c r="B36" s="50">
        <f>B30*4.62%</f>
        <v>1246648.23081414</v>
      </c>
    </row>
    <row r="37" ht="31" spans="1:2">
      <c r="A37" s="20" t="s">
        <v>56</v>
      </c>
      <c r="B37" s="50">
        <f ca="1">B30-K_cost-E_period-(B34-I_input-B37)</f>
        <v>0</v>
      </c>
    </row>
    <row r="38" ht="31" spans="1:2">
      <c r="A38" s="20" t="s">
        <v>57</v>
      </c>
      <c r="B38" s="50">
        <f ca="1">MAX(0,B38*25%)</f>
        <v>0</v>
      </c>
    </row>
    <row r="39" ht="31" spans="1:2">
      <c r="A39" s="111" t="s">
        <v>58</v>
      </c>
      <c r="B39" s="112">
        <f ca="1">B34-I_input-B37+B39</f>
        <v>0</v>
      </c>
    </row>
    <row r="40" spans="1:2">
      <c r="A40" s="113" t="s">
        <v>59</v>
      </c>
      <c r="B40" s="114">
        <f ca="1">B30-K_cost-E_period-B40</f>
        <v>0</v>
      </c>
    </row>
    <row r="41" ht="31" spans="1:2">
      <c r="A41" s="113" t="s">
        <v>60</v>
      </c>
      <c r="B41" s="115">
        <f ca="1">B41/B30</f>
        <v>0</v>
      </c>
    </row>
    <row r="42" ht="31" spans="1:2">
      <c r="A42" s="56" t="s">
        <v>61</v>
      </c>
      <c r="B42" s="116">
        <f ca="1">B42-target</f>
        <v>0</v>
      </c>
    </row>
    <row r="45" ht="26" customHeight="1" spans="1:2">
      <c r="A45" s="3" t="s">
        <v>62</v>
      </c>
    </row>
    <row r="46" ht="60" customHeight="1" spans="1:2">
      <c r="A46" s="117"/>
    </row>
    <row r="48" ht="26" customHeight="1" spans="1:2">
      <c r="A48" s="3" t="s">
        <v>63</v>
      </c>
    </row>
    <row r="49" spans="1:7">
      <c r="A49" s="118" t="s">
        <v>64</v>
      </c>
      <c r="B49" s="118" t="s">
        <v>65</v>
      </c>
      <c r="C49" s="118" t="s">
        <v>66</v>
      </c>
      <c r="D49" s="118" t="s">
        <v>67</v>
      </c>
      <c r="E49" s="118" t="s">
        <v>68</v>
      </c>
      <c r="F49" s="118" t="s">
        <v>69</v>
      </c>
      <c r="G49" s="118" t="s">
        <v>70</v>
      </c>
    </row>
    <row r="50" ht="31" spans="1:7">
      <c r="A50" s="20" t="s">
        <v>71</v>
      </c>
      <c r="B50" s="21">
        <v>4</v>
      </c>
      <c r="C50" s="21" t="s">
        <v>72</v>
      </c>
      <c r="D50" s="21" t="s">
        <v>73</v>
      </c>
      <c r="E50" s="21" t="s">
        <v>73</v>
      </c>
      <c r="F50" s="21" t="s">
        <v>74</v>
      </c>
      <c r="G50" s="21" t="s">
        <v>75</v>
      </c>
    </row>
    <row r="51" ht="31" spans="1:7">
      <c r="A51" s="25" t="s">
        <v>76</v>
      </c>
      <c r="B51" s="26">
        <v>3</v>
      </c>
      <c r="C51" s="26" t="s">
        <v>72</v>
      </c>
      <c r="D51" s="26" t="s">
        <v>77</v>
      </c>
      <c r="E51" s="26" t="s">
        <v>78</v>
      </c>
      <c r="F51" s="26" t="s">
        <v>74</v>
      </c>
      <c r="G51" s="26" t="s">
        <v>79</v>
      </c>
    </row>
    <row r="52" spans="1:7">
      <c r="A52" s="20" t="s">
        <v>80</v>
      </c>
      <c r="B52" s="21">
        <v>3</v>
      </c>
      <c r="C52" s="21" t="s">
        <v>81</v>
      </c>
      <c r="D52" s="21" t="s">
        <v>77</v>
      </c>
      <c r="E52" s="21" t="s">
        <v>73</v>
      </c>
      <c r="F52" s="21" t="s">
        <v>82</v>
      </c>
      <c r="G52" s="21" t="s">
        <v>83</v>
      </c>
    </row>
    <row r="53" spans="1:7">
      <c r="A53" s="20" t="s">
        <v>84</v>
      </c>
      <c r="B53" s="21">
        <v>3</v>
      </c>
      <c r="C53" s="21" t="s">
        <v>72</v>
      </c>
      <c r="D53" s="21" t="s">
        <v>77</v>
      </c>
      <c r="E53" s="21" t="s">
        <v>85</v>
      </c>
      <c r="F53" s="21" t="s">
        <v>86</v>
      </c>
      <c r="G53" s="21" t="s">
        <v>87</v>
      </c>
    </row>
    <row r="54" spans="1:7">
      <c r="A54" s="20" t="s">
        <v>88</v>
      </c>
      <c r="B54" s="21">
        <v>3</v>
      </c>
      <c r="C54" s="21" t="s">
        <v>89</v>
      </c>
      <c r="D54" s="21" t="s">
        <v>77</v>
      </c>
      <c r="E54" s="21" t="s">
        <v>73</v>
      </c>
      <c r="F54" s="21" t="s">
        <v>90</v>
      </c>
      <c r="G54" s="21" t="s">
        <v>91</v>
      </c>
    </row>
    <row r="55" spans="1:7">
      <c r="A55" s="20" t="s">
        <v>92</v>
      </c>
      <c r="B55" s="21">
        <v>3</v>
      </c>
      <c r="C55" s="21" t="s">
        <v>93</v>
      </c>
      <c r="D55" s="21" t="s">
        <v>77</v>
      </c>
      <c r="E55" s="21" t="s">
        <v>94</v>
      </c>
      <c r="F55" s="21" t="s">
        <v>74</v>
      </c>
      <c r="G55" s="21" t="s">
        <v>95</v>
      </c>
    </row>
  </sheetData>
  <mergeCells count="20">
    <mergeCell ref="A1:G1"/>
    <mergeCell ref="A2:G2"/>
    <mergeCell ref="A4:G4"/>
    <mergeCell ref="B5:G5"/>
    <mergeCell ref="B6:G6"/>
    <mergeCell ref="B7:G7"/>
    <mergeCell ref="B8:G8"/>
    <mergeCell ref="B9:G9"/>
    <mergeCell ref="A11:G11"/>
    <mergeCell ref="C12:G12"/>
    <mergeCell ref="C13:G13"/>
    <mergeCell ref="C14:G14"/>
    <mergeCell ref="C15:G15"/>
    <mergeCell ref="C16:G16"/>
    <mergeCell ref="C17:G17"/>
    <mergeCell ref="A19:G19"/>
    <mergeCell ref="A29:G29"/>
    <mergeCell ref="A45:G45"/>
    <mergeCell ref="A46:G46"/>
    <mergeCell ref="A48:G48"/>
  </mergeCells>
  <conditionalFormatting sqref="A46:G46">
    <cfRule type="expression" dxfId="0" priority="1">
      <formula>$B$42-target&lt;0</formula>
    </cfRule>
    <cfRule type="expression" dxfId="1" priority="2">
      <formula>AND($B$42-target&gt;=0,$B$42-target&lt;0.02)</formula>
    </cfRule>
    <cfRule type="expression" dxfId="2" priority="3">
      <formula>$B$42-target&gt;=0.02</formula>
    </cfRule>
  </conditionalFormatting>
  <dataValidations count="1">
    <dataValidation type="list" sqref="B12">
      <formula1>"3,4"</formula1>
    </dataValidation>
  </dataValidation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047857"/>
  </sheetPr>
  <dimension ref="A1:G55"/>
  <sheetViews>
    <sheetView showGridLines="0" topLeftCell="A39" workbookViewId="0">
      <selection activeCell="A1" sqref="A1:G1"/>
    </sheetView>
  </sheetViews>
  <sheetFormatPr defaultColWidth="9" defaultRowHeight="16.8" outlineLevelCol="6"/>
  <cols>
    <col min="1" max="1" width="30" customWidth="1"/>
    <col min="2" max="3" width="14" customWidth="1"/>
    <col min="4" max="5" width="16" customWidth="1"/>
    <col min="6" max="6" width="18" customWidth="1"/>
    <col min="7" max="7" width="20" customWidth="1"/>
  </cols>
  <sheetData>
    <row r="1" ht="36" customHeight="1" spans="1:7">
      <c r="A1" s="1" t="s">
        <v>96</v>
      </c>
    </row>
    <row r="2" spans="1:7">
      <c r="A2" s="2" t="s">
        <v>97</v>
      </c>
    </row>
    <row r="4" ht="26" customHeight="1" spans="1:7">
      <c r="A4" s="3" t="s">
        <v>98</v>
      </c>
    </row>
    <row r="5" ht="22" customHeight="1" spans="1:7">
      <c r="A5" s="48" t="s">
        <v>99</v>
      </c>
      <c r="B5" s="48" t="s">
        <v>100</v>
      </c>
      <c r="C5" s="48" t="s">
        <v>101</v>
      </c>
      <c r="D5" s="48" t="s">
        <v>102</v>
      </c>
      <c r="E5" s="48" t="s">
        <v>103</v>
      </c>
      <c r="F5" s="48" t="s">
        <v>33</v>
      </c>
      <c r="G5" s="48" t="s">
        <v>104</v>
      </c>
    </row>
    <row r="6" ht="31" spans="1:7">
      <c r="A6" s="49" t="s">
        <v>105</v>
      </c>
      <c r="B6" s="50">
        <v>2650</v>
      </c>
      <c r="C6" s="21" t="s">
        <v>106</v>
      </c>
      <c r="D6" s="20" t="s">
        <v>107</v>
      </c>
      <c r="E6" s="21" t="s">
        <v>108</v>
      </c>
      <c r="F6" s="20" t="s">
        <v>104</v>
      </c>
    </row>
    <row r="7" ht="31" spans="1:7">
      <c r="A7" s="49" t="s">
        <v>109</v>
      </c>
      <c r="B7" s="51">
        <v>20750</v>
      </c>
      <c r="C7" s="19" t="s">
        <v>110</v>
      </c>
      <c r="D7" s="18" t="s">
        <v>111</v>
      </c>
      <c r="E7" s="19" t="s">
        <v>108</v>
      </c>
      <c r="F7" s="18" t="s">
        <v>104</v>
      </c>
    </row>
    <row r="8" ht="31" spans="1:7">
      <c r="A8" s="49" t="s">
        <v>112</v>
      </c>
      <c r="B8" s="50">
        <v>20800</v>
      </c>
      <c r="C8" s="21" t="s">
        <v>110</v>
      </c>
      <c r="D8" s="20" t="s">
        <v>113</v>
      </c>
      <c r="E8" s="21" t="s">
        <v>114</v>
      </c>
      <c r="F8" s="20" t="s">
        <v>104</v>
      </c>
    </row>
    <row r="9" ht="31" spans="1:7">
      <c r="A9" s="49" t="s">
        <v>115</v>
      </c>
      <c r="B9" s="52">
        <v>7.18</v>
      </c>
      <c r="C9" s="19" t="s">
        <v>104</v>
      </c>
      <c r="D9" s="18" t="s">
        <v>116</v>
      </c>
      <c r="E9" s="19" t="s">
        <v>117</v>
      </c>
      <c r="F9" s="18" t="s">
        <v>104</v>
      </c>
    </row>
    <row r="10" ht="31" spans="1:7">
      <c r="A10" s="49" t="s">
        <v>118</v>
      </c>
      <c r="B10" s="53">
        <v>3.6725</v>
      </c>
      <c r="C10" s="21" t="s">
        <v>104</v>
      </c>
      <c r="D10" s="20" t="s">
        <v>119</v>
      </c>
      <c r="E10" s="21" t="s">
        <v>120</v>
      </c>
      <c r="F10" s="20" t="s">
        <v>121</v>
      </c>
    </row>
    <row r="11" ht="31" spans="1:7">
      <c r="A11" s="49" t="s">
        <v>122</v>
      </c>
      <c r="B11" s="52">
        <v>1.955</v>
      </c>
      <c r="C11" s="19" t="s">
        <v>104</v>
      </c>
      <c r="D11" s="18" t="s">
        <v>123</v>
      </c>
      <c r="E11" s="19" t="s">
        <v>124</v>
      </c>
      <c r="F11" s="18" t="s">
        <v>104</v>
      </c>
    </row>
    <row r="12" ht="31" spans="1:7">
      <c r="A12" s="49" t="s">
        <v>125</v>
      </c>
      <c r="B12" s="50">
        <v>3800</v>
      </c>
      <c r="C12" s="21" t="s">
        <v>110</v>
      </c>
      <c r="D12" s="20" t="s">
        <v>126</v>
      </c>
      <c r="E12" s="21" t="s">
        <v>127</v>
      </c>
      <c r="F12" s="20" t="s">
        <v>104</v>
      </c>
    </row>
    <row r="13" ht="31" spans="1:7">
      <c r="A13" s="49" t="s">
        <v>128</v>
      </c>
      <c r="B13" s="51">
        <v>5500</v>
      </c>
      <c r="C13" s="19" t="s">
        <v>110</v>
      </c>
      <c r="D13" s="18" t="s">
        <v>129</v>
      </c>
      <c r="E13" s="19" t="s">
        <v>130</v>
      </c>
      <c r="F13" s="18" t="s">
        <v>104</v>
      </c>
    </row>
    <row r="14" spans="1:7">
      <c r="A14" s="49" t="s">
        <v>131</v>
      </c>
      <c r="B14" s="50">
        <v>8500</v>
      </c>
      <c r="C14" s="21" t="s">
        <v>110</v>
      </c>
      <c r="D14" s="20" t="s">
        <v>132</v>
      </c>
      <c r="E14" s="21" t="s">
        <v>133</v>
      </c>
      <c r="F14" s="20" t="s">
        <v>104</v>
      </c>
    </row>
    <row r="15" ht="31" spans="1:7">
      <c r="A15" s="49" t="s">
        <v>134</v>
      </c>
      <c r="B15" s="51">
        <v>180</v>
      </c>
      <c r="C15" s="19" t="s">
        <v>135</v>
      </c>
      <c r="D15" s="18" t="s">
        <v>136</v>
      </c>
      <c r="E15" s="19" t="s">
        <v>137</v>
      </c>
      <c r="F15" s="18" t="s">
        <v>104</v>
      </c>
    </row>
    <row r="16" spans="1:7">
      <c r="A16" s="49" t="s">
        <v>138</v>
      </c>
      <c r="B16" s="50">
        <v>280</v>
      </c>
      <c r="C16" s="21" t="s">
        <v>135</v>
      </c>
      <c r="D16" s="20" t="s">
        <v>132</v>
      </c>
      <c r="E16" s="21" t="s">
        <v>139</v>
      </c>
      <c r="F16" s="20" t="s">
        <v>104</v>
      </c>
    </row>
    <row r="17" spans="1:7">
      <c r="A17" s="49" t="s">
        <v>140</v>
      </c>
      <c r="B17" s="51">
        <v>350</v>
      </c>
      <c r="C17" s="19" t="s">
        <v>135</v>
      </c>
      <c r="D17" s="18" t="s">
        <v>141</v>
      </c>
      <c r="E17" s="19" t="s">
        <v>142</v>
      </c>
      <c r="F17" s="18" t="s">
        <v>104</v>
      </c>
    </row>
    <row r="18" ht="31" spans="1:7">
      <c r="A18" s="49" t="s">
        <v>143</v>
      </c>
      <c r="B18" s="50">
        <v>2800</v>
      </c>
      <c r="C18" s="21" t="s">
        <v>144</v>
      </c>
      <c r="D18" s="20" t="s">
        <v>145</v>
      </c>
      <c r="E18" s="21" t="s">
        <v>146</v>
      </c>
      <c r="F18" s="20" t="s">
        <v>104</v>
      </c>
    </row>
    <row r="19" ht="31" spans="1:7">
      <c r="A19" s="49" t="s">
        <v>147</v>
      </c>
      <c r="B19" s="54">
        <v>0.13</v>
      </c>
      <c r="C19" s="19" t="s">
        <v>104</v>
      </c>
      <c r="D19" s="18" t="s">
        <v>148</v>
      </c>
      <c r="E19" s="19" t="s">
        <v>149</v>
      </c>
      <c r="F19" s="18" t="s">
        <v>150</v>
      </c>
    </row>
    <row r="20" spans="1:7">
      <c r="A20" s="49" t="s">
        <v>151</v>
      </c>
      <c r="B20" s="55">
        <v>0.0462</v>
      </c>
      <c r="C20" s="21" t="s">
        <v>104</v>
      </c>
      <c r="D20" s="20" t="s">
        <v>152</v>
      </c>
      <c r="E20" s="21" t="s">
        <v>149</v>
      </c>
      <c r="F20" s="20" t="s">
        <v>104</v>
      </c>
    </row>
    <row r="21" spans="1:7">
      <c r="A21" s="49" t="s">
        <v>153</v>
      </c>
      <c r="B21" s="54">
        <v>0.13</v>
      </c>
      <c r="C21" s="19" t="s">
        <v>104</v>
      </c>
      <c r="D21" s="18" t="s">
        <v>154</v>
      </c>
      <c r="E21" s="19" t="s">
        <v>149</v>
      </c>
      <c r="F21" s="18" t="s">
        <v>104</v>
      </c>
    </row>
    <row r="22" spans="1:7">
      <c r="A22" s="49" t="s">
        <v>155</v>
      </c>
      <c r="B22" s="55">
        <v>0.25</v>
      </c>
      <c r="C22" s="21" t="s">
        <v>104</v>
      </c>
      <c r="D22" s="20" t="s">
        <v>156</v>
      </c>
      <c r="E22" s="21" t="s">
        <v>149</v>
      </c>
      <c r="F22" s="20" t="s">
        <v>104</v>
      </c>
    </row>
    <row r="25" ht="26" customHeight="1" spans="1:7">
      <c r="A25" s="3" t="s">
        <v>157</v>
      </c>
    </row>
    <row r="26" ht="22" customHeight="1" spans="1:7">
      <c r="A26" s="48" t="s">
        <v>158</v>
      </c>
      <c r="B26" s="48" t="s">
        <v>159</v>
      </c>
      <c r="C26" s="48" t="s">
        <v>160</v>
      </c>
      <c r="D26" s="48" t="s">
        <v>161</v>
      </c>
      <c r="E26" s="48" t="s">
        <v>162</v>
      </c>
      <c r="F26" s="48" t="s">
        <v>163</v>
      </c>
      <c r="G26" s="48" t="s">
        <v>164</v>
      </c>
    </row>
    <row r="27" spans="1:7">
      <c r="A27" s="56" t="s">
        <v>165</v>
      </c>
      <c r="B27" s="57">
        <v>0.6</v>
      </c>
      <c r="C27" s="50">
        <v>408</v>
      </c>
      <c r="D27" s="50">
        <v>20800</v>
      </c>
      <c r="E27" s="50">
        <v>9310</v>
      </c>
      <c r="F27" s="50">
        <v>33910</v>
      </c>
      <c r="G27" s="50">
        <v>7076870</v>
      </c>
    </row>
    <row r="28" spans="1:7">
      <c r="A28" s="58" t="s">
        <v>166</v>
      </c>
      <c r="B28" s="59">
        <v>0.25</v>
      </c>
      <c r="C28" s="51">
        <v>170</v>
      </c>
      <c r="D28" s="51">
        <v>20800</v>
      </c>
      <c r="E28" s="51">
        <v>13000</v>
      </c>
      <c r="F28" s="51">
        <v>37980</v>
      </c>
      <c r="G28" s="51">
        <v>3302610</v>
      </c>
    </row>
    <row r="29" spans="1:7">
      <c r="A29" s="56" t="s">
        <v>167</v>
      </c>
      <c r="B29" s="57">
        <v>0.08</v>
      </c>
      <c r="C29" s="50">
        <v>54</v>
      </c>
      <c r="D29" s="50">
        <v>20800</v>
      </c>
      <c r="E29" s="50">
        <v>9310</v>
      </c>
      <c r="F29" s="50">
        <v>33910</v>
      </c>
      <c r="G29" s="50">
        <v>936644</v>
      </c>
    </row>
    <row r="30" spans="1:7">
      <c r="A30" s="58" t="s">
        <v>168</v>
      </c>
      <c r="B30" s="59">
        <v>0.07</v>
      </c>
      <c r="C30" s="51">
        <v>48</v>
      </c>
      <c r="D30" s="51">
        <v>20800</v>
      </c>
      <c r="E30" s="51">
        <v>8420</v>
      </c>
      <c r="F30" s="51">
        <v>32920</v>
      </c>
      <c r="G30" s="51">
        <v>808262</v>
      </c>
    </row>
    <row r="31" ht="17" spans="1:7">
      <c r="A31" s="31" t="s">
        <v>169</v>
      </c>
      <c r="B31" s="60" t="s">
        <v>170</v>
      </c>
      <c r="C31" s="61">
        <v>680</v>
      </c>
      <c r="D31" s="62"/>
      <c r="E31" s="62"/>
      <c r="F31" s="60" t="s">
        <v>171</v>
      </c>
      <c r="G31" s="61">
        <v>12124386</v>
      </c>
    </row>
    <row r="33" ht="26" customHeight="1" spans="1:7">
      <c r="A33" s="3" t="s">
        <v>172</v>
      </c>
    </row>
    <row r="34" ht="22" customHeight="1" spans="1:7">
      <c r="A34" s="48" t="s">
        <v>173</v>
      </c>
      <c r="B34" s="48" t="s">
        <v>159</v>
      </c>
      <c r="C34" s="48" t="s">
        <v>174</v>
      </c>
      <c r="D34" s="48" t="s">
        <v>175</v>
      </c>
      <c r="E34" s="48" t="s">
        <v>176</v>
      </c>
      <c r="F34" s="48" t="s">
        <v>177</v>
      </c>
      <c r="G34" s="48" t="s">
        <v>164</v>
      </c>
    </row>
    <row r="35" spans="1:7">
      <c r="A35" s="56" t="s">
        <v>178</v>
      </c>
      <c r="B35" s="57">
        <v>0.55</v>
      </c>
      <c r="C35" s="50">
        <v>9790</v>
      </c>
      <c r="D35" s="50">
        <v>180</v>
      </c>
      <c r="E35" s="50">
        <v>25</v>
      </c>
      <c r="F35" s="50">
        <v>205</v>
      </c>
      <c r="G35" s="50">
        <v>1026573</v>
      </c>
    </row>
    <row r="36" spans="1:7">
      <c r="A36" s="58" t="s">
        <v>179</v>
      </c>
      <c r="B36" s="59">
        <v>0.25</v>
      </c>
      <c r="C36" s="51">
        <v>4450</v>
      </c>
      <c r="D36" s="51">
        <v>280</v>
      </c>
      <c r="E36" s="51">
        <v>37</v>
      </c>
      <c r="F36" s="51">
        <v>317</v>
      </c>
      <c r="G36" s="51">
        <v>721559</v>
      </c>
    </row>
    <row r="37" spans="1:7">
      <c r="A37" s="56" t="s">
        <v>180</v>
      </c>
      <c r="B37" s="57">
        <v>0.1</v>
      </c>
      <c r="C37" s="50">
        <v>1780</v>
      </c>
      <c r="D37" s="50">
        <v>350</v>
      </c>
      <c r="E37" s="50">
        <v>45</v>
      </c>
      <c r="F37" s="50">
        <v>395</v>
      </c>
      <c r="G37" s="50">
        <v>359642</v>
      </c>
    </row>
    <row r="38" spans="1:7">
      <c r="A38" s="58" t="s">
        <v>181</v>
      </c>
      <c r="B38" s="59">
        <v>0.1</v>
      </c>
      <c r="C38" s="51">
        <v>1780</v>
      </c>
      <c r="D38" s="51">
        <v>120</v>
      </c>
      <c r="E38" s="51">
        <v>18</v>
      </c>
      <c r="F38" s="51">
        <v>138</v>
      </c>
      <c r="G38" s="51">
        <v>125647</v>
      </c>
    </row>
    <row r="39" ht="17" spans="1:7">
      <c r="A39" s="31" t="s">
        <v>182</v>
      </c>
      <c r="B39" s="60" t="s">
        <v>170</v>
      </c>
      <c r="C39" s="61">
        <v>17800</v>
      </c>
      <c r="D39" s="62"/>
      <c r="E39" s="62"/>
      <c r="F39" s="60" t="s">
        <v>183</v>
      </c>
      <c r="G39" s="61">
        <v>2233421</v>
      </c>
    </row>
    <row r="41" ht="26" customHeight="1" spans="1:7">
      <c r="A41" s="3" t="s">
        <v>184</v>
      </c>
    </row>
    <row r="42" ht="22" customHeight="1" spans="1:7">
      <c r="A42" s="48" t="s">
        <v>185</v>
      </c>
      <c r="B42" s="48" t="s">
        <v>186</v>
      </c>
      <c r="C42" s="48" t="s">
        <v>187</v>
      </c>
      <c r="D42" s="48" t="s">
        <v>188</v>
      </c>
      <c r="E42" s="48" t="s">
        <v>189</v>
      </c>
      <c r="F42" s="48" t="s">
        <v>190</v>
      </c>
      <c r="G42" s="48" t="s">
        <v>33</v>
      </c>
    </row>
    <row r="43" spans="1:7">
      <c r="A43" s="20" t="s">
        <v>191</v>
      </c>
      <c r="B43" s="50">
        <v>1497827</v>
      </c>
      <c r="C43" s="50">
        <v>1680000</v>
      </c>
      <c r="D43" s="50">
        <v>-182173</v>
      </c>
      <c r="E43" s="63" t="s">
        <v>192</v>
      </c>
      <c r="F43" s="21" t="s">
        <v>193</v>
      </c>
      <c r="G43" s="20" t="s">
        <v>194</v>
      </c>
    </row>
    <row r="44" ht="31" spans="1:7">
      <c r="A44" s="18" t="s">
        <v>195</v>
      </c>
      <c r="B44" s="51">
        <v>870251</v>
      </c>
      <c r="C44" s="51">
        <v>920000</v>
      </c>
      <c r="D44" s="51">
        <v>-49749</v>
      </c>
      <c r="E44" s="64" t="s">
        <v>196</v>
      </c>
      <c r="F44" s="19" t="s">
        <v>197</v>
      </c>
      <c r="G44" s="18" t="s">
        <v>198</v>
      </c>
    </row>
    <row r="45" spans="1:7">
      <c r="A45" s="20" t="s">
        <v>199</v>
      </c>
      <c r="B45" s="50">
        <v>674118</v>
      </c>
      <c r="C45" s="50">
        <v>740000</v>
      </c>
      <c r="D45" s="50">
        <v>-65882</v>
      </c>
      <c r="E45" s="63" t="s">
        <v>200</v>
      </c>
      <c r="F45" s="21" t="s">
        <v>201</v>
      </c>
      <c r="G45" s="20" t="s">
        <v>202</v>
      </c>
    </row>
    <row r="46" spans="1:7">
      <c r="A46" s="18" t="s">
        <v>203</v>
      </c>
      <c r="B46" s="51">
        <v>1021140</v>
      </c>
      <c r="C46" s="51">
        <v>920000</v>
      </c>
      <c r="D46" s="51">
        <v>101140</v>
      </c>
      <c r="E46" s="64" t="s">
        <v>204</v>
      </c>
      <c r="F46" s="19" t="s">
        <v>205</v>
      </c>
      <c r="G46" s="18" t="s">
        <v>104</v>
      </c>
    </row>
    <row r="47" ht="17" spans="1:7">
      <c r="A47" s="31" t="s">
        <v>206</v>
      </c>
      <c r="B47" s="61">
        <v>18421143</v>
      </c>
      <c r="C47" s="61">
        <v>21815000</v>
      </c>
      <c r="D47" s="61">
        <v>-3393857</v>
      </c>
      <c r="E47" s="60" t="s">
        <v>207</v>
      </c>
      <c r="F47" s="33" t="s">
        <v>208</v>
      </c>
      <c r="G47" s="31" t="s">
        <v>209</v>
      </c>
    </row>
    <row r="48" spans="1:7">
      <c r="A48" s="18" t="s">
        <v>210</v>
      </c>
      <c r="B48" s="51">
        <v>1962659</v>
      </c>
      <c r="C48" s="51">
        <v>1545000</v>
      </c>
      <c r="D48" s="51">
        <v>417659</v>
      </c>
      <c r="E48" s="64" t="s">
        <v>211</v>
      </c>
      <c r="F48" s="19" t="s">
        <v>212</v>
      </c>
      <c r="G48" s="18" t="s">
        <v>213</v>
      </c>
    </row>
    <row r="49" spans="1:7">
      <c r="A49" s="20" t="s">
        <v>214</v>
      </c>
      <c r="B49" s="50">
        <v>194680</v>
      </c>
      <c r="C49" s="50">
        <v>195000</v>
      </c>
      <c r="D49" s="50">
        <v>-320</v>
      </c>
      <c r="E49" s="63" t="s">
        <v>149</v>
      </c>
      <c r="F49" s="21" t="s">
        <v>104</v>
      </c>
      <c r="G49" s="20" t="s">
        <v>104</v>
      </c>
    </row>
    <row r="50" ht="17" spans="1:7">
      <c r="A50" s="31" t="s">
        <v>215</v>
      </c>
      <c r="B50" s="61">
        <v>2157339</v>
      </c>
      <c r="C50" s="61">
        <v>1740000</v>
      </c>
      <c r="D50" s="61">
        <v>417339</v>
      </c>
      <c r="E50" s="60" t="s">
        <v>216</v>
      </c>
      <c r="F50" s="33" t="s">
        <v>104</v>
      </c>
      <c r="G50" s="31" t="s">
        <v>104</v>
      </c>
    </row>
    <row r="51" spans="1:7">
      <c r="A51" s="20" t="s">
        <v>217</v>
      </c>
      <c r="B51" s="50">
        <v>380716</v>
      </c>
      <c r="C51" s="50">
        <v>610000</v>
      </c>
      <c r="D51" s="50">
        <v>-229284</v>
      </c>
      <c r="E51" s="63" t="s">
        <v>218</v>
      </c>
      <c r="F51" s="21" t="s">
        <v>219</v>
      </c>
      <c r="G51" s="20" t="s">
        <v>220</v>
      </c>
    </row>
    <row r="52" spans="1:7">
      <c r="A52" s="18" t="s">
        <v>221</v>
      </c>
      <c r="B52" s="51">
        <v>1094000</v>
      </c>
      <c r="C52" s="51">
        <v>665000</v>
      </c>
      <c r="D52" s="51">
        <v>429000</v>
      </c>
      <c r="E52" s="64" t="s">
        <v>222</v>
      </c>
      <c r="F52" s="19" t="s">
        <v>223</v>
      </c>
      <c r="G52" s="18" t="s">
        <v>224</v>
      </c>
    </row>
    <row r="53" ht="17" spans="1:7">
      <c r="A53" s="31" t="s">
        <v>225</v>
      </c>
      <c r="B53" s="61">
        <v>1474716</v>
      </c>
      <c r="C53" s="61">
        <v>1275000</v>
      </c>
      <c r="D53" s="61">
        <v>199716</v>
      </c>
      <c r="E53" s="60" t="s">
        <v>226</v>
      </c>
      <c r="F53" s="33" t="s">
        <v>104</v>
      </c>
      <c r="G53" s="31" t="s">
        <v>104</v>
      </c>
    </row>
    <row r="54" ht="17.55"/>
    <row r="55" ht="36.75" spans="1:7">
      <c r="A55" s="65" t="s">
        <v>227</v>
      </c>
      <c r="B55" s="66">
        <v>22053198</v>
      </c>
      <c r="C55" s="66">
        <v>24830000</v>
      </c>
      <c r="D55" s="66">
        <v>-2776802</v>
      </c>
      <c r="E55" s="67" t="s">
        <v>228</v>
      </c>
      <c r="F55" s="65" t="s">
        <v>229</v>
      </c>
      <c r="G55" s="68"/>
    </row>
  </sheetData>
  <mergeCells count="7">
    <mergeCell ref="A1:G1"/>
    <mergeCell ref="A2:G2"/>
    <mergeCell ref="A4:G4"/>
    <mergeCell ref="A25:G25"/>
    <mergeCell ref="A33:G33"/>
    <mergeCell ref="A41:G41"/>
    <mergeCell ref="F55:G55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374151"/>
  </sheetPr>
  <dimension ref="A1:D22"/>
  <sheetViews>
    <sheetView showGridLines="0" workbookViewId="0">
      <selection activeCell="F11" sqref="F11"/>
    </sheetView>
  </sheetViews>
  <sheetFormatPr defaultColWidth="9" defaultRowHeight="16.8" outlineLevelCol="3"/>
  <cols>
    <col min="1" max="1" width="44.5576923076923" customWidth="1"/>
    <col min="2" max="2" width="34.9326923076923" customWidth="1"/>
    <col min="3" max="3" width="43.9134615384615" customWidth="1"/>
    <col min="4" max="4" width="38.4519230769231" customWidth="1"/>
  </cols>
  <sheetData>
    <row r="1" ht="36" customHeight="1" spans="1:4">
      <c r="A1" s="1" t="s">
        <v>230</v>
      </c>
    </row>
    <row r="3" ht="26" customHeight="1" spans="1:4">
      <c r="A3" s="3" t="s">
        <v>231</v>
      </c>
    </row>
    <row r="4" ht="24" customHeight="1" spans="1:4">
      <c r="A4" s="17" t="s">
        <v>232</v>
      </c>
      <c r="B4" s="17" t="s">
        <v>71</v>
      </c>
      <c r="C4" s="17" t="s">
        <v>76</v>
      </c>
      <c r="D4" s="17" t="s">
        <v>233</v>
      </c>
    </row>
    <row r="5" ht="24" customHeight="1" spans="1:4">
      <c r="A5" s="7" t="s">
        <v>65</v>
      </c>
      <c r="B5" s="7" t="s">
        <v>234</v>
      </c>
      <c r="C5" s="7" t="s">
        <v>235</v>
      </c>
      <c r="D5" s="7" t="s">
        <v>236</v>
      </c>
    </row>
    <row r="6" ht="24" customHeight="1" spans="1:4">
      <c r="A6" s="5" t="s">
        <v>237</v>
      </c>
      <c r="B6" s="5" t="s">
        <v>238</v>
      </c>
      <c r="C6" s="5" t="s">
        <v>238</v>
      </c>
      <c r="D6" s="5" t="s">
        <v>149</v>
      </c>
    </row>
    <row r="7" ht="24" customHeight="1" spans="1:4">
      <c r="A7" s="7" t="s">
        <v>239</v>
      </c>
      <c r="B7" s="7" t="s">
        <v>240</v>
      </c>
      <c r="C7" s="7" t="s">
        <v>241</v>
      </c>
      <c r="D7" s="7" t="s">
        <v>242</v>
      </c>
    </row>
    <row r="8" ht="24" customHeight="1" spans="1:4">
      <c r="A8" s="5" t="s">
        <v>243</v>
      </c>
      <c r="B8" s="5" t="s">
        <v>244</v>
      </c>
      <c r="C8" s="5" t="s">
        <v>245</v>
      </c>
      <c r="D8" s="5" t="s">
        <v>246</v>
      </c>
    </row>
    <row r="9" ht="24" customHeight="1" spans="1:4">
      <c r="A9" s="7" t="s">
        <v>247</v>
      </c>
      <c r="B9" s="7" t="s">
        <v>248</v>
      </c>
      <c r="C9" s="7" t="s">
        <v>249</v>
      </c>
      <c r="D9" s="7" t="s">
        <v>250</v>
      </c>
    </row>
    <row r="10" ht="24" customHeight="1" spans="1:4">
      <c r="A10" s="5" t="s">
        <v>251</v>
      </c>
      <c r="B10" s="5" t="s">
        <v>252</v>
      </c>
      <c r="C10" s="5" t="s">
        <v>253</v>
      </c>
      <c r="D10" s="5" t="s">
        <v>254</v>
      </c>
    </row>
    <row r="11" ht="24" customHeight="1" spans="1:4">
      <c r="A11" s="47" t="s">
        <v>255</v>
      </c>
      <c r="B11" s="47" t="s">
        <v>256</v>
      </c>
      <c r="C11" s="47" t="s">
        <v>257</v>
      </c>
      <c r="D11" s="47" t="s">
        <v>258</v>
      </c>
    </row>
    <row r="12" ht="24" customHeight="1" spans="1:4">
      <c r="A12" s="47" t="s">
        <v>259</v>
      </c>
      <c r="B12" s="47" t="s">
        <v>260</v>
      </c>
      <c r="C12" s="47" t="s">
        <v>261</v>
      </c>
      <c r="D12" s="47" t="s">
        <v>262</v>
      </c>
    </row>
    <row r="13" ht="24" customHeight="1" spans="1:4">
      <c r="A13" s="47" t="s">
        <v>263</v>
      </c>
      <c r="B13" s="47" t="s">
        <v>264</v>
      </c>
      <c r="C13" s="47" t="s">
        <v>265</v>
      </c>
      <c r="D13" s="47" t="s">
        <v>266</v>
      </c>
    </row>
    <row r="16" ht="26" customHeight="1" spans="1:4">
      <c r="A16" s="3" t="s">
        <v>267</v>
      </c>
    </row>
    <row r="17" ht="22" customHeight="1" spans="1:4">
      <c r="A17" s="17" t="s">
        <v>268</v>
      </c>
      <c r="B17" s="17" t="s">
        <v>269</v>
      </c>
      <c r="C17" s="17" t="s">
        <v>270</v>
      </c>
      <c r="D17" s="17" t="s">
        <v>104</v>
      </c>
    </row>
    <row r="18" ht="22" customHeight="1" spans="1:4">
      <c r="A18" s="7" t="s">
        <v>271</v>
      </c>
      <c r="B18" s="7" t="s">
        <v>272</v>
      </c>
      <c r="C18" s="7" t="s">
        <v>273</v>
      </c>
      <c r="D18" s="7" t="s">
        <v>104</v>
      </c>
    </row>
    <row r="19" ht="22" customHeight="1" spans="1:4">
      <c r="A19" s="37" t="s">
        <v>274</v>
      </c>
      <c r="B19" s="37" t="s">
        <v>275</v>
      </c>
      <c r="C19" s="37" t="s">
        <v>276</v>
      </c>
      <c r="D19" s="37" t="s">
        <v>104</v>
      </c>
    </row>
    <row r="20" ht="22" customHeight="1" spans="1:4">
      <c r="A20" s="37" t="s">
        <v>277</v>
      </c>
      <c r="B20" s="37" t="s">
        <v>275</v>
      </c>
      <c r="C20" s="37" t="s">
        <v>278</v>
      </c>
      <c r="D20" s="37" t="s">
        <v>104</v>
      </c>
    </row>
    <row r="21" ht="22" customHeight="1" spans="1:4">
      <c r="A21" s="5" t="s">
        <v>279</v>
      </c>
      <c r="B21" s="5" t="s">
        <v>272</v>
      </c>
      <c r="C21" s="5" t="s">
        <v>280</v>
      </c>
      <c r="D21" s="5" t="s">
        <v>104</v>
      </c>
    </row>
    <row r="22" ht="22" customHeight="1" spans="1:4">
      <c r="A22" s="37" t="s">
        <v>281</v>
      </c>
      <c r="B22" s="37" t="s">
        <v>275</v>
      </c>
      <c r="C22" s="37" t="s">
        <v>282</v>
      </c>
      <c r="D22" s="37" t="s">
        <v>104</v>
      </c>
    </row>
  </sheetData>
  <mergeCells count="3">
    <mergeCell ref="A1:D1"/>
    <mergeCell ref="A3:D3"/>
    <mergeCell ref="A16:D16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78350F"/>
  </sheetPr>
  <dimension ref="A1:H23"/>
  <sheetViews>
    <sheetView showGridLines="0" workbookViewId="0">
      <selection activeCell="A1" sqref="A1:H1"/>
    </sheetView>
  </sheetViews>
  <sheetFormatPr defaultColWidth="9" defaultRowHeight="16.8" outlineLevelCol="7"/>
  <cols>
    <col min="1" max="1" width="22" customWidth="1"/>
    <col min="2" max="4" width="14" customWidth="1"/>
    <col min="5" max="6" width="18" customWidth="1"/>
    <col min="7" max="8" width="16" customWidth="1"/>
  </cols>
  <sheetData>
    <row r="1" ht="36" customHeight="1" spans="1:8">
      <c r="A1" s="1" t="s">
        <v>283</v>
      </c>
    </row>
    <row r="3" ht="26" customHeight="1" spans="1:8">
      <c r="A3" s="3" t="s">
        <v>284</v>
      </c>
    </row>
    <row r="4" ht="22" customHeight="1" spans="1:8">
      <c r="A4" s="17" t="s">
        <v>285</v>
      </c>
      <c r="B4" s="17" t="s">
        <v>286</v>
      </c>
      <c r="C4" s="17" t="s">
        <v>287</v>
      </c>
      <c r="D4" s="17" t="s">
        <v>288</v>
      </c>
      <c r="E4" s="36" t="s">
        <v>104</v>
      </c>
      <c r="F4" s="36" t="s">
        <v>104</v>
      </c>
      <c r="G4" s="36" t="s">
        <v>104</v>
      </c>
      <c r="H4" s="36" t="s">
        <v>104</v>
      </c>
    </row>
    <row r="5" ht="22" customHeight="1" spans="1:8">
      <c r="A5" s="5" t="s">
        <v>105</v>
      </c>
      <c r="B5" s="37" t="s">
        <v>289</v>
      </c>
      <c r="C5" s="38" t="s">
        <v>290</v>
      </c>
      <c r="D5" s="39" t="s">
        <v>291</v>
      </c>
      <c r="E5" s="23" t="s">
        <v>104</v>
      </c>
      <c r="F5" s="23" t="s">
        <v>104</v>
      </c>
      <c r="G5" s="23" t="s">
        <v>104</v>
      </c>
      <c r="H5" s="23" t="s">
        <v>104</v>
      </c>
    </row>
    <row r="6" ht="22" customHeight="1" spans="1:8">
      <c r="A6" s="5" t="s">
        <v>292</v>
      </c>
      <c r="B6" s="37" t="s">
        <v>293</v>
      </c>
      <c r="C6" s="38" t="s">
        <v>294</v>
      </c>
      <c r="D6" s="39" t="s">
        <v>295</v>
      </c>
      <c r="E6" s="23" t="s">
        <v>104</v>
      </c>
      <c r="F6" s="23" t="s">
        <v>104</v>
      </c>
      <c r="G6" s="23" t="s">
        <v>104</v>
      </c>
      <c r="H6" s="23" t="s">
        <v>104</v>
      </c>
    </row>
    <row r="7" ht="22" customHeight="1" spans="1:8">
      <c r="A7" s="5" t="s">
        <v>296</v>
      </c>
      <c r="B7" s="37" t="s">
        <v>297</v>
      </c>
      <c r="C7" s="38" t="s">
        <v>298</v>
      </c>
      <c r="D7" s="39" t="s">
        <v>299</v>
      </c>
      <c r="E7" s="23" t="s">
        <v>104</v>
      </c>
      <c r="F7" s="23" t="s">
        <v>104</v>
      </c>
      <c r="G7" s="23" t="s">
        <v>104</v>
      </c>
      <c r="H7" s="23" t="s">
        <v>104</v>
      </c>
    </row>
    <row r="8" ht="22" customHeight="1" spans="1:8">
      <c r="A8" s="5" t="s">
        <v>300</v>
      </c>
      <c r="B8" s="37" t="s">
        <v>301</v>
      </c>
      <c r="C8" s="38" t="s">
        <v>302</v>
      </c>
      <c r="D8" s="39" t="s">
        <v>303</v>
      </c>
      <c r="E8" s="23" t="s">
        <v>104</v>
      </c>
      <c r="F8" s="23" t="s">
        <v>104</v>
      </c>
      <c r="G8" s="23" t="s">
        <v>104</v>
      </c>
      <c r="H8" s="23" t="s">
        <v>104</v>
      </c>
    </row>
    <row r="9" ht="22" customHeight="1" spans="1:8">
      <c r="A9" s="5" t="s">
        <v>304</v>
      </c>
      <c r="B9" s="37" t="s">
        <v>305</v>
      </c>
      <c r="C9" s="38" t="s">
        <v>302</v>
      </c>
      <c r="D9" s="39" t="s">
        <v>306</v>
      </c>
      <c r="E9" s="23" t="s">
        <v>104</v>
      </c>
      <c r="F9" s="23" t="s">
        <v>104</v>
      </c>
      <c r="G9" s="23" t="s">
        <v>104</v>
      </c>
      <c r="H9" s="23" t="s">
        <v>104</v>
      </c>
    </row>
    <row r="12" ht="26" customHeight="1" spans="1:8">
      <c r="A12" s="3" t="s">
        <v>307</v>
      </c>
    </row>
    <row r="13" ht="22" customHeight="1" spans="1:8">
      <c r="A13" s="17" t="s">
        <v>308</v>
      </c>
      <c r="B13" s="17" t="s">
        <v>309</v>
      </c>
      <c r="C13" s="17" t="s">
        <v>310</v>
      </c>
      <c r="D13" s="17" t="s">
        <v>311</v>
      </c>
      <c r="E13" s="17" t="s">
        <v>312</v>
      </c>
      <c r="F13" s="17" t="s">
        <v>313</v>
      </c>
      <c r="G13" s="17" t="s">
        <v>314</v>
      </c>
      <c r="H13" s="17" t="s">
        <v>315</v>
      </c>
    </row>
    <row r="14" ht="22" customHeight="1" spans="1:8">
      <c r="A14" s="37" t="s">
        <v>286</v>
      </c>
      <c r="B14" s="40">
        <v>20850000</v>
      </c>
      <c r="C14" s="40">
        <v>6250000</v>
      </c>
      <c r="D14" s="40">
        <v>1428421</v>
      </c>
      <c r="E14" s="40">
        <v>4821579</v>
      </c>
      <c r="F14" s="41" t="s">
        <v>316</v>
      </c>
      <c r="G14" s="41" t="s">
        <v>317</v>
      </c>
      <c r="H14" s="42" t="s">
        <v>318</v>
      </c>
    </row>
    <row r="15" ht="22" customHeight="1" spans="1:8">
      <c r="A15" s="37" t="s">
        <v>319</v>
      </c>
      <c r="B15" s="40">
        <v>22053198</v>
      </c>
      <c r="C15" s="40">
        <v>4823900</v>
      </c>
      <c r="D15" s="40">
        <v>1205000</v>
      </c>
      <c r="E15" s="40">
        <v>3618900</v>
      </c>
      <c r="F15" s="41" t="s">
        <v>320</v>
      </c>
      <c r="G15" s="41" t="s">
        <v>321</v>
      </c>
      <c r="H15" s="42" t="s">
        <v>322</v>
      </c>
    </row>
    <row r="16" ht="22" customHeight="1" spans="1:8">
      <c r="A16" s="39" t="s">
        <v>288</v>
      </c>
      <c r="B16" s="43">
        <v>24900000</v>
      </c>
      <c r="C16" s="43">
        <v>1029200</v>
      </c>
      <c r="D16" s="43">
        <v>257300</v>
      </c>
      <c r="E16" s="43">
        <v>771900</v>
      </c>
      <c r="F16" s="44" t="s">
        <v>323</v>
      </c>
      <c r="G16" s="44" t="s">
        <v>324</v>
      </c>
      <c r="H16" s="45" t="s">
        <v>325</v>
      </c>
    </row>
    <row r="18" ht="26" customHeight="1" spans="1:1">
      <c r="A18" s="3" t="s">
        <v>326</v>
      </c>
    </row>
    <row r="19" ht="24" customHeight="1" spans="1:1">
      <c r="A19" s="46" t="s">
        <v>327</v>
      </c>
    </row>
    <row r="20" ht="24" customHeight="1" spans="1:1">
      <c r="A20" s="46" t="s">
        <v>328</v>
      </c>
    </row>
    <row r="21" ht="24" customHeight="1" spans="1:1">
      <c r="A21" s="46" t="s">
        <v>329</v>
      </c>
    </row>
    <row r="22" ht="24" customHeight="1" spans="1:1">
      <c r="A22" s="46" t="s">
        <v>330</v>
      </c>
    </row>
    <row r="23" ht="24" customHeight="1" spans="1:1">
      <c r="A23" s="46" t="s">
        <v>331</v>
      </c>
    </row>
  </sheetData>
  <mergeCells count="9">
    <mergeCell ref="A1:H1"/>
    <mergeCell ref="A3:H3"/>
    <mergeCell ref="A12:H12"/>
    <mergeCell ref="A18:H18"/>
    <mergeCell ref="A19:H19"/>
    <mergeCell ref="A20:H20"/>
    <mergeCell ref="A21:H21"/>
    <mergeCell ref="A22:H22"/>
    <mergeCell ref="A23:H23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92400E"/>
  </sheetPr>
  <dimension ref="A1:G25"/>
  <sheetViews>
    <sheetView showGridLines="0" topLeftCell="A3" workbookViewId="0">
      <selection activeCell="A1" sqref="A1:G1"/>
    </sheetView>
  </sheetViews>
  <sheetFormatPr defaultColWidth="9" defaultRowHeight="16.8" outlineLevelCol="6"/>
  <cols>
    <col min="1" max="1" width="18" customWidth="1"/>
    <col min="2" max="3" width="16" customWidth="1"/>
    <col min="4" max="4" width="20" customWidth="1"/>
    <col min="5" max="5" width="24" customWidth="1"/>
    <col min="6" max="6" width="18" customWidth="1"/>
    <col min="7" max="7" width="20" customWidth="1"/>
  </cols>
  <sheetData>
    <row r="1" ht="36" customHeight="1" spans="1:7">
      <c r="A1" s="1" t="s">
        <v>332</v>
      </c>
    </row>
    <row r="3" ht="26" customHeight="1" spans="1:7">
      <c r="A3" s="3" t="s">
        <v>333</v>
      </c>
    </row>
    <row r="4" ht="22" customHeight="1" spans="1:7">
      <c r="A4" s="24" t="s">
        <v>334</v>
      </c>
      <c r="B4" s="17" t="s">
        <v>335</v>
      </c>
      <c r="C4" s="17" t="s">
        <v>336</v>
      </c>
      <c r="D4" s="17" t="s">
        <v>337</v>
      </c>
      <c r="E4" s="17" t="s">
        <v>338</v>
      </c>
      <c r="F4" s="17" t="s">
        <v>339</v>
      </c>
      <c r="G4" s="17" t="s">
        <v>315</v>
      </c>
    </row>
    <row r="5" ht="22" customHeight="1" spans="1:7">
      <c r="A5" s="25" t="s">
        <v>340</v>
      </c>
      <c r="B5" s="26" t="s">
        <v>341</v>
      </c>
      <c r="C5" s="26" t="s">
        <v>342</v>
      </c>
      <c r="D5" s="26" t="s">
        <v>343</v>
      </c>
      <c r="E5" s="26" t="s">
        <v>344</v>
      </c>
      <c r="F5" s="26" t="s">
        <v>345</v>
      </c>
      <c r="G5" s="26" t="s">
        <v>346</v>
      </c>
    </row>
    <row r="6" ht="22" customHeight="1" spans="1:7">
      <c r="A6" s="25" t="s">
        <v>305</v>
      </c>
      <c r="B6" s="26" t="s">
        <v>347</v>
      </c>
      <c r="C6" s="26" t="s">
        <v>348</v>
      </c>
      <c r="D6" s="26" t="s">
        <v>349</v>
      </c>
      <c r="E6" s="26" t="s">
        <v>350</v>
      </c>
      <c r="F6" s="26" t="s">
        <v>351</v>
      </c>
      <c r="G6" s="26" t="s">
        <v>346</v>
      </c>
    </row>
    <row r="7" ht="22" customHeight="1" spans="1:7">
      <c r="A7" s="25" t="s">
        <v>352</v>
      </c>
      <c r="B7" s="26" t="s">
        <v>353</v>
      </c>
      <c r="C7" s="26" t="s">
        <v>353</v>
      </c>
      <c r="D7" s="26" t="s">
        <v>353</v>
      </c>
      <c r="E7" s="26" t="s">
        <v>354</v>
      </c>
      <c r="F7" s="26" t="s">
        <v>355</v>
      </c>
      <c r="G7" s="26" t="s">
        <v>346</v>
      </c>
    </row>
    <row r="8" ht="22" customHeight="1" spans="1:7">
      <c r="A8" s="34" t="s">
        <v>356</v>
      </c>
      <c r="B8" s="35" t="s">
        <v>357</v>
      </c>
      <c r="C8" s="35" t="s">
        <v>358</v>
      </c>
      <c r="D8" s="35" t="s">
        <v>359</v>
      </c>
      <c r="E8" s="35" t="s">
        <v>360</v>
      </c>
      <c r="F8" s="35" t="s">
        <v>361</v>
      </c>
      <c r="G8" s="35" t="s">
        <v>362</v>
      </c>
    </row>
    <row r="9" ht="22" customHeight="1" spans="1:7">
      <c r="A9" s="27" t="s">
        <v>363</v>
      </c>
      <c r="B9" s="28" t="s">
        <v>364</v>
      </c>
      <c r="C9" s="28" t="s">
        <v>365</v>
      </c>
      <c r="D9" s="28" t="s">
        <v>366</v>
      </c>
      <c r="E9" s="28" t="s">
        <v>367</v>
      </c>
      <c r="F9" s="28" t="s">
        <v>368</v>
      </c>
      <c r="G9" s="28" t="s">
        <v>369</v>
      </c>
    </row>
    <row r="10" ht="22" customHeight="1" spans="1:7">
      <c r="A10" s="27" t="s">
        <v>370</v>
      </c>
      <c r="B10" s="28" t="s">
        <v>371</v>
      </c>
      <c r="C10" s="28" t="s">
        <v>372</v>
      </c>
      <c r="D10" s="28" t="s">
        <v>373</v>
      </c>
      <c r="E10" s="28" t="s">
        <v>374</v>
      </c>
      <c r="F10" s="28" t="s">
        <v>375</v>
      </c>
      <c r="G10" s="28" t="s">
        <v>369</v>
      </c>
    </row>
    <row r="13" ht="26" customHeight="1" spans="1:7">
      <c r="A13" s="3" t="s">
        <v>376</v>
      </c>
    </row>
    <row r="14" ht="24" customHeight="1" spans="1:7">
      <c r="A14" s="24" t="s">
        <v>377</v>
      </c>
      <c r="B14" s="17" t="s">
        <v>378</v>
      </c>
      <c r="C14" s="17" t="s">
        <v>379</v>
      </c>
      <c r="D14" s="17" t="s">
        <v>380</v>
      </c>
      <c r="E14" s="17" t="s">
        <v>381</v>
      </c>
      <c r="F14" s="17" t="s">
        <v>382</v>
      </c>
      <c r="G14" s="17" t="s">
        <v>33</v>
      </c>
    </row>
    <row r="15" ht="24" customHeight="1" spans="1:7">
      <c r="A15" s="18" t="s">
        <v>383</v>
      </c>
      <c r="B15" s="19">
        <v>200</v>
      </c>
      <c r="C15" s="19" t="s">
        <v>384</v>
      </c>
      <c r="D15" s="19" t="s">
        <v>385</v>
      </c>
      <c r="E15" s="19" t="s">
        <v>386</v>
      </c>
      <c r="F15" s="19">
        <v>107</v>
      </c>
      <c r="G15" s="19" t="s">
        <v>387</v>
      </c>
    </row>
    <row r="16" ht="24" customHeight="1" spans="1:7">
      <c r="A16" s="20" t="s">
        <v>388</v>
      </c>
      <c r="B16" s="21">
        <v>400</v>
      </c>
      <c r="C16" s="21" t="s">
        <v>389</v>
      </c>
      <c r="D16" s="21" t="s">
        <v>390</v>
      </c>
      <c r="E16" s="21" t="s">
        <v>391</v>
      </c>
      <c r="F16" s="21">
        <v>50</v>
      </c>
      <c r="G16" s="21" t="s">
        <v>392</v>
      </c>
    </row>
    <row r="17" ht="24" customHeight="1" spans="1:7">
      <c r="A17" s="18" t="s">
        <v>393</v>
      </c>
      <c r="B17" s="19">
        <v>80</v>
      </c>
      <c r="C17" s="19" t="s">
        <v>394</v>
      </c>
      <c r="D17" s="19" t="s">
        <v>395</v>
      </c>
      <c r="E17" s="19" t="s">
        <v>396</v>
      </c>
      <c r="F17" s="19" t="s">
        <v>35</v>
      </c>
      <c r="G17" s="19" t="s">
        <v>397</v>
      </c>
    </row>
    <row r="18" ht="24" customHeight="1" spans="1:7">
      <c r="A18" s="31" t="s">
        <v>398</v>
      </c>
      <c r="B18" s="33">
        <v>680</v>
      </c>
      <c r="C18" s="33" t="s">
        <v>399</v>
      </c>
      <c r="D18" s="33" t="s">
        <v>400</v>
      </c>
      <c r="E18" s="33" t="s">
        <v>401</v>
      </c>
      <c r="F18" s="33">
        <v>157</v>
      </c>
      <c r="G18" s="33" t="s">
        <v>402</v>
      </c>
    </row>
    <row r="20" ht="26" customHeight="1" spans="1:7">
      <c r="A20" s="3" t="s">
        <v>403</v>
      </c>
    </row>
    <row r="21" ht="22" customHeight="1" spans="1:7">
      <c r="A21" s="17" t="s">
        <v>404</v>
      </c>
      <c r="B21" s="14" t="s">
        <v>405</v>
      </c>
      <c r="C21" s="14" t="s">
        <v>406</v>
      </c>
      <c r="D21" s="22" t="s">
        <v>104</v>
      </c>
      <c r="E21" s="22" t="s">
        <v>104</v>
      </c>
      <c r="F21" s="22" t="s">
        <v>104</v>
      </c>
      <c r="G21" s="22" t="s">
        <v>104</v>
      </c>
    </row>
    <row r="22" ht="22" customHeight="1" spans="1:7">
      <c r="A22" s="21" t="s">
        <v>407</v>
      </c>
      <c r="B22" s="5" t="s">
        <v>408</v>
      </c>
      <c r="C22" s="5" t="s">
        <v>409</v>
      </c>
      <c r="D22" s="23" t="s">
        <v>104</v>
      </c>
      <c r="E22" s="23" t="s">
        <v>104</v>
      </c>
      <c r="F22" s="23" t="s">
        <v>104</v>
      </c>
      <c r="G22" s="23" t="s">
        <v>104</v>
      </c>
    </row>
    <row r="23" ht="22" customHeight="1" spans="1:7">
      <c r="A23" s="21" t="s">
        <v>410</v>
      </c>
      <c r="B23" s="5" t="s">
        <v>411</v>
      </c>
      <c r="C23" s="5" t="s">
        <v>412</v>
      </c>
      <c r="D23" s="23" t="s">
        <v>104</v>
      </c>
      <c r="E23" s="23" t="s">
        <v>104</v>
      </c>
      <c r="F23" s="23" t="s">
        <v>104</v>
      </c>
      <c r="G23" s="23" t="s">
        <v>104</v>
      </c>
    </row>
    <row r="24" ht="22" customHeight="1" spans="1:7">
      <c r="A24" s="21" t="s">
        <v>413</v>
      </c>
      <c r="B24" s="5" t="s">
        <v>414</v>
      </c>
      <c r="C24" s="5" t="s">
        <v>415</v>
      </c>
      <c r="D24" s="23" t="s">
        <v>104</v>
      </c>
      <c r="E24" s="23" t="s">
        <v>104</v>
      </c>
      <c r="F24" s="23" t="s">
        <v>104</v>
      </c>
      <c r="G24" s="23" t="s">
        <v>104</v>
      </c>
    </row>
    <row r="25" ht="22" customHeight="1" spans="1:7">
      <c r="A25" s="21" t="s">
        <v>416</v>
      </c>
      <c r="B25" s="5" t="s">
        <v>417</v>
      </c>
      <c r="C25" s="5" t="s">
        <v>418</v>
      </c>
      <c r="D25" s="23" t="s">
        <v>104</v>
      </c>
      <c r="E25" s="23" t="s">
        <v>104</v>
      </c>
      <c r="F25" s="23" t="s">
        <v>104</v>
      </c>
      <c r="G25" s="23" t="s">
        <v>104</v>
      </c>
    </row>
  </sheetData>
  <mergeCells count="4">
    <mergeCell ref="A1:G1"/>
    <mergeCell ref="A3:G3"/>
    <mergeCell ref="A13:G13"/>
    <mergeCell ref="A20:G20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3730A3"/>
  </sheetPr>
  <dimension ref="A1:G28"/>
  <sheetViews>
    <sheetView showGridLines="0" workbookViewId="0">
      <selection activeCell="A1" sqref="A1:G1"/>
    </sheetView>
  </sheetViews>
  <sheetFormatPr defaultColWidth="9" defaultRowHeight="16.8" outlineLevelCol="6"/>
  <cols>
    <col min="1" max="1" width="18" customWidth="1"/>
    <col min="2" max="3" width="16" customWidth="1"/>
    <col min="4" max="4" width="20" customWidth="1"/>
    <col min="5" max="6" width="18" customWidth="1"/>
    <col min="7" max="7" width="22" customWidth="1"/>
  </cols>
  <sheetData>
    <row r="1" ht="36" customHeight="1" spans="1:7">
      <c r="A1" s="1" t="s">
        <v>419</v>
      </c>
    </row>
    <row r="3" ht="26" customHeight="1" spans="1:7">
      <c r="A3" s="3" t="s">
        <v>420</v>
      </c>
    </row>
    <row r="4" ht="31" spans="1:7">
      <c r="A4" s="24" t="s">
        <v>292</v>
      </c>
      <c r="B4" s="17" t="s">
        <v>421</v>
      </c>
      <c r="C4" s="17" t="s">
        <v>422</v>
      </c>
      <c r="D4" s="17" t="s">
        <v>423</v>
      </c>
      <c r="E4" s="17" t="s">
        <v>338</v>
      </c>
      <c r="F4" s="17" t="s">
        <v>339</v>
      </c>
      <c r="G4" s="17" t="s">
        <v>315</v>
      </c>
    </row>
    <row r="5" ht="31" spans="1:7">
      <c r="A5" s="25" t="s">
        <v>424</v>
      </c>
      <c r="B5" s="26" t="s">
        <v>425</v>
      </c>
      <c r="C5" s="26" t="s">
        <v>426</v>
      </c>
      <c r="D5" s="26" t="s">
        <v>427</v>
      </c>
      <c r="E5" s="26" t="s">
        <v>428</v>
      </c>
      <c r="F5" s="26" t="s">
        <v>429</v>
      </c>
      <c r="G5" s="26" t="s">
        <v>346</v>
      </c>
    </row>
    <row r="6" ht="31" spans="1:7">
      <c r="A6" s="25" t="s">
        <v>430</v>
      </c>
      <c r="B6" s="26" t="s">
        <v>431</v>
      </c>
      <c r="C6" s="26" t="s">
        <v>432</v>
      </c>
      <c r="D6" s="26" t="s">
        <v>433</v>
      </c>
      <c r="E6" s="26" t="s">
        <v>434</v>
      </c>
      <c r="F6" s="26" t="s">
        <v>435</v>
      </c>
      <c r="G6" s="26" t="s">
        <v>346</v>
      </c>
    </row>
    <row r="7" spans="1:7">
      <c r="A7" s="25" t="s">
        <v>436</v>
      </c>
      <c r="B7" s="26" t="s">
        <v>353</v>
      </c>
      <c r="C7" s="26" t="s">
        <v>353</v>
      </c>
      <c r="D7" s="26" t="s">
        <v>353</v>
      </c>
      <c r="E7" s="26" t="s">
        <v>354</v>
      </c>
      <c r="F7" s="26" t="s">
        <v>355</v>
      </c>
      <c r="G7" s="26" t="s">
        <v>346</v>
      </c>
    </row>
    <row r="8" ht="31" spans="1:7">
      <c r="A8" s="27" t="s">
        <v>437</v>
      </c>
      <c r="B8" s="28" t="s">
        <v>438</v>
      </c>
      <c r="C8" s="28" t="s">
        <v>439</v>
      </c>
      <c r="D8" s="28" t="s">
        <v>440</v>
      </c>
      <c r="E8" s="28" t="s">
        <v>441</v>
      </c>
      <c r="F8" s="28" t="s">
        <v>442</v>
      </c>
      <c r="G8" s="28" t="s">
        <v>369</v>
      </c>
    </row>
    <row r="9" ht="31" spans="1:7">
      <c r="A9" s="27" t="s">
        <v>443</v>
      </c>
      <c r="B9" s="28" t="s">
        <v>444</v>
      </c>
      <c r="C9" s="28" t="s">
        <v>445</v>
      </c>
      <c r="D9" s="28" t="s">
        <v>446</v>
      </c>
      <c r="E9" s="28" t="s">
        <v>447</v>
      </c>
      <c r="F9" s="28" t="s">
        <v>448</v>
      </c>
      <c r="G9" s="28" t="s">
        <v>369</v>
      </c>
    </row>
    <row r="10" ht="31" spans="1:7">
      <c r="A10" s="20" t="s">
        <v>449</v>
      </c>
      <c r="B10" s="21" t="s">
        <v>450</v>
      </c>
      <c r="C10" s="21" t="s">
        <v>451</v>
      </c>
      <c r="D10" s="21" t="s">
        <v>452</v>
      </c>
      <c r="E10" s="21" t="s">
        <v>453</v>
      </c>
      <c r="F10" s="21" t="s">
        <v>454</v>
      </c>
      <c r="G10" s="21" t="s">
        <v>455</v>
      </c>
    </row>
    <row r="13" ht="26" customHeight="1" spans="1:7">
      <c r="A13" s="3" t="s">
        <v>456</v>
      </c>
    </row>
    <row r="14" ht="24" customHeight="1" spans="1:7">
      <c r="A14" s="24" t="s">
        <v>457</v>
      </c>
      <c r="B14" s="17" t="s">
        <v>458</v>
      </c>
      <c r="C14" s="17" t="s">
        <v>380</v>
      </c>
      <c r="D14" s="17" t="s">
        <v>459</v>
      </c>
      <c r="E14" s="17" t="s">
        <v>460</v>
      </c>
      <c r="F14" s="17" t="s">
        <v>461</v>
      </c>
      <c r="G14" s="17" t="s">
        <v>33</v>
      </c>
    </row>
    <row r="15" ht="24" customHeight="1" spans="1:7">
      <c r="A15" s="18" t="s">
        <v>462</v>
      </c>
      <c r="B15" s="29">
        <v>2640000</v>
      </c>
      <c r="C15" s="19" t="s">
        <v>463</v>
      </c>
      <c r="D15" s="19" t="s">
        <v>464</v>
      </c>
      <c r="E15" s="19" t="s">
        <v>465</v>
      </c>
      <c r="F15" s="19" t="s">
        <v>466</v>
      </c>
      <c r="G15" s="19" t="s">
        <v>467</v>
      </c>
    </row>
    <row r="16" ht="24" customHeight="1" spans="1:7">
      <c r="A16" s="20" t="s">
        <v>468</v>
      </c>
      <c r="B16" s="30">
        <v>3530000</v>
      </c>
      <c r="C16" s="21" t="s">
        <v>469</v>
      </c>
      <c r="D16" s="21" t="s">
        <v>470</v>
      </c>
      <c r="E16" s="21" t="s">
        <v>471</v>
      </c>
      <c r="F16" s="21" t="s">
        <v>472</v>
      </c>
      <c r="G16" s="21" t="s">
        <v>473</v>
      </c>
    </row>
    <row r="17" ht="24" customHeight="1" spans="1:7">
      <c r="A17" s="18" t="s">
        <v>474</v>
      </c>
      <c r="B17" s="29">
        <v>1760000</v>
      </c>
      <c r="C17" s="19" t="s">
        <v>475</v>
      </c>
      <c r="D17" s="19" t="s">
        <v>476</v>
      </c>
      <c r="E17" s="19" t="s">
        <v>477</v>
      </c>
      <c r="F17" s="19" t="s">
        <v>478</v>
      </c>
      <c r="G17" s="19" t="s">
        <v>479</v>
      </c>
    </row>
    <row r="18" ht="24" customHeight="1" spans="1:7">
      <c r="A18" s="20" t="s">
        <v>480</v>
      </c>
      <c r="B18" s="30">
        <v>880000</v>
      </c>
      <c r="C18" s="21" t="s">
        <v>481</v>
      </c>
      <c r="D18" s="21" t="s">
        <v>482</v>
      </c>
      <c r="E18" s="21" t="s">
        <v>483</v>
      </c>
      <c r="F18" s="21" t="s">
        <v>484</v>
      </c>
      <c r="G18" s="21" t="s">
        <v>485</v>
      </c>
    </row>
    <row r="19" ht="24" customHeight="1" spans="1:7">
      <c r="A19" s="31" t="s">
        <v>398</v>
      </c>
      <c r="B19" s="32">
        <v>8810000</v>
      </c>
      <c r="C19" s="33" t="s">
        <v>486</v>
      </c>
      <c r="D19" s="33" t="s">
        <v>487</v>
      </c>
      <c r="E19" s="33" t="s">
        <v>35</v>
      </c>
      <c r="F19" s="33" t="s">
        <v>488</v>
      </c>
      <c r="G19" s="33" t="s">
        <v>489</v>
      </c>
    </row>
    <row r="21" ht="26" customHeight="1" spans="1:7">
      <c r="A21" s="3" t="s">
        <v>490</v>
      </c>
    </row>
    <row r="22" ht="22" customHeight="1" spans="1:7">
      <c r="A22" s="17" t="s">
        <v>404</v>
      </c>
      <c r="B22" s="14" t="s">
        <v>405</v>
      </c>
      <c r="C22" s="14" t="s">
        <v>406</v>
      </c>
      <c r="D22" s="22" t="s">
        <v>104</v>
      </c>
      <c r="E22" s="22" t="s">
        <v>104</v>
      </c>
      <c r="F22" s="22" t="s">
        <v>104</v>
      </c>
      <c r="G22" s="22" t="s">
        <v>104</v>
      </c>
    </row>
    <row r="23" ht="22" customHeight="1" spans="1:7">
      <c r="A23" s="21" t="s">
        <v>407</v>
      </c>
      <c r="B23" s="5" t="s">
        <v>491</v>
      </c>
      <c r="C23" s="5" t="s">
        <v>492</v>
      </c>
      <c r="D23" s="23" t="s">
        <v>104</v>
      </c>
      <c r="E23" s="23" t="s">
        <v>104</v>
      </c>
      <c r="F23" s="23" t="s">
        <v>104</v>
      </c>
      <c r="G23" s="23" t="s">
        <v>104</v>
      </c>
    </row>
    <row r="24" ht="22" customHeight="1" spans="1:7">
      <c r="A24" s="21" t="s">
        <v>493</v>
      </c>
      <c r="B24" s="5" t="s">
        <v>494</v>
      </c>
      <c r="C24" s="5" t="s">
        <v>495</v>
      </c>
      <c r="D24" s="23" t="s">
        <v>104</v>
      </c>
      <c r="E24" s="23" t="s">
        <v>104</v>
      </c>
      <c r="F24" s="23" t="s">
        <v>104</v>
      </c>
      <c r="G24" s="23" t="s">
        <v>104</v>
      </c>
    </row>
    <row r="25" ht="22" customHeight="1" spans="1:7">
      <c r="A25" s="21" t="s">
        <v>496</v>
      </c>
      <c r="B25" s="5" t="s">
        <v>497</v>
      </c>
      <c r="C25" s="5" t="s">
        <v>498</v>
      </c>
      <c r="D25" s="23" t="s">
        <v>104</v>
      </c>
      <c r="E25" s="23" t="s">
        <v>104</v>
      </c>
      <c r="F25" s="23" t="s">
        <v>104</v>
      </c>
      <c r="G25" s="23" t="s">
        <v>104</v>
      </c>
    </row>
    <row r="26" ht="22" customHeight="1" spans="1:7">
      <c r="A26" s="21" t="s">
        <v>499</v>
      </c>
      <c r="B26" s="5" t="s">
        <v>500</v>
      </c>
      <c r="C26" s="5" t="s">
        <v>498</v>
      </c>
      <c r="D26" s="23" t="s">
        <v>104</v>
      </c>
      <c r="E26" s="23" t="s">
        <v>104</v>
      </c>
      <c r="F26" s="23" t="s">
        <v>104</v>
      </c>
      <c r="G26" s="23" t="s">
        <v>104</v>
      </c>
    </row>
    <row r="27" ht="22" customHeight="1" spans="1:7">
      <c r="A27" s="21" t="s">
        <v>501</v>
      </c>
      <c r="B27" s="5" t="s">
        <v>502</v>
      </c>
      <c r="C27" s="5" t="s">
        <v>498</v>
      </c>
      <c r="D27" s="23" t="s">
        <v>104</v>
      </c>
      <c r="E27" s="23" t="s">
        <v>104</v>
      </c>
      <c r="F27" s="23" t="s">
        <v>104</v>
      </c>
      <c r="G27" s="23" t="s">
        <v>104</v>
      </c>
    </row>
    <row r="28" ht="22" customHeight="1" spans="1:7">
      <c r="A28" s="21" t="s">
        <v>503</v>
      </c>
      <c r="B28" s="5" t="s">
        <v>504</v>
      </c>
      <c r="C28" s="5" t="s">
        <v>505</v>
      </c>
      <c r="D28" s="23" t="s">
        <v>104</v>
      </c>
      <c r="E28" s="23" t="s">
        <v>104</v>
      </c>
      <c r="F28" s="23" t="s">
        <v>104</v>
      </c>
      <c r="G28" s="23" t="s">
        <v>104</v>
      </c>
    </row>
  </sheetData>
  <mergeCells count="4">
    <mergeCell ref="A1:G1"/>
    <mergeCell ref="A3:G3"/>
    <mergeCell ref="A13:G13"/>
    <mergeCell ref="A21:G21"/>
  </mergeCell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064E3B"/>
  </sheetPr>
  <dimension ref="A1:E23"/>
  <sheetViews>
    <sheetView showGridLines="0" workbookViewId="0">
      <selection activeCell="G7" sqref="G7:G8"/>
    </sheetView>
  </sheetViews>
  <sheetFormatPr defaultColWidth="9" defaultRowHeight="16.8" outlineLevelCol="4"/>
  <cols>
    <col min="1" max="1" width="18" customWidth="1"/>
    <col min="2" max="2" width="62.3365384615385" customWidth="1"/>
    <col min="3" max="3" width="14" customWidth="1"/>
    <col min="4" max="4" width="12" customWidth="1"/>
    <col min="5" max="5" width="22" customWidth="1"/>
  </cols>
  <sheetData>
    <row r="1" ht="36" customHeight="1" spans="1:5">
      <c r="A1" s="1" t="s">
        <v>506</v>
      </c>
    </row>
    <row r="3" ht="26" customHeight="1" spans="1:5">
      <c r="A3" s="3" t="s">
        <v>507</v>
      </c>
    </row>
    <row r="4" ht="26" customHeight="1" spans="1:5">
      <c r="A4" s="17" t="s">
        <v>508</v>
      </c>
      <c r="B4" s="17" t="s">
        <v>509</v>
      </c>
      <c r="C4" s="17" t="s">
        <v>510</v>
      </c>
      <c r="D4" s="17" t="s">
        <v>511</v>
      </c>
      <c r="E4" s="17" t="s">
        <v>33</v>
      </c>
    </row>
    <row r="5" ht="26" customHeight="1" spans="1:5">
      <c r="A5" s="18" t="s">
        <v>512</v>
      </c>
      <c r="B5" s="7" t="s">
        <v>513</v>
      </c>
      <c r="C5" s="19" t="s">
        <v>514</v>
      </c>
      <c r="D5" s="19" t="s">
        <v>515</v>
      </c>
      <c r="E5" s="18" t="s">
        <v>516</v>
      </c>
    </row>
    <row r="6" ht="26" customHeight="1" spans="1:5">
      <c r="A6" s="20" t="s">
        <v>517</v>
      </c>
      <c r="B6" s="5" t="s">
        <v>518</v>
      </c>
      <c r="C6" s="21" t="s">
        <v>514</v>
      </c>
      <c r="D6" s="21" t="s">
        <v>515</v>
      </c>
      <c r="E6" s="20" t="s">
        <v>519</v>
      </c>
    </row>
    <row r="7" ht="26" customHeight="1" spans="1:5">
      <c r="A7" s="18" t="s">
        <v>520</v>
      </c>
      <c r="B7" s="7" t="s">
        <v>521</v>
      </c>
      <c r="C7" s="19" t="s">
        <v>514</v>
      </c>
      <c r="D7" s="19" t="s">
        <v>522</v>
      </c>
      <c r="E7" s="18" t="s">
        <v>523</v>
      </c>
    </row>
    <row r="8" ht="26" customHeight="1" spans="1:5">
      <c r="A8" s="20" t="s">
        <v>524</v>
      </c>
      <c r="B8" s="5" t="s">
        <v>525</v>
      </c>
      <c r="C8" s="21" t="s">
        <v>514</v>
      </c>
      <c r="D8" s="21" t="s">
        <v>522</v>
      </c>
      <c r="E8" s="20" t="s">
        <v>526</v>
      </c>
    </row>
    <row r="9" ht="26" customHeight="1" spans="1:5">
      <c r="A9" s="18" t="s">
        <v>527</v>
      </c>
      <c r="B9" s="7" t="s">
        <v>528</v>
      </c>
      <c r="C9" s="19" t="s">
        <v>529</v>
      </c>
      <c r="D9" s="19" t="s">
        <v>530</v>
      </c>
      <c r="E9" s="18" t="s">
        <v>531</v>
      </c>
    </row>
    <row r="10" ht="26" customHeight="1" spans="1:5">
      <c r="A10" s="20" t="s">
        <v>532</v>
      </c>
      <c r="B10" s="5" t="s">
        <v>533</v>
      </c>
      <c r="C10" s="21" t="s">
        <v>534</v>
      </c>
      <c r="D10" s="21" t="s">
        <v>535</v>
      </c>
      <c r="E10" s="20" t="s">
        <v>536</v>
      </c>
    </row>
    <row r="11" ht="26" customHeight="1" spans="1:5">
      <c r="A11" s="18" t="s">
        <v>537</v>
      </c>
      <c r="B11" s="7" t="s">
        <v>538</v>
      </c>
      <c r="C11" s="19" t="s">
        <v>529</v>
      </c>
      <c r="D11" s="19" t="s">
        <v>530</v>
      </c>
      <c r="E11" s="18" t="s">
        <v>539</v>
      </c>
    </row>
    <row r="12" ht="26" customHeight="1" spans="1:5">
      <c r="A12" s="20" t="s">
        <v>217</v>
      </c>
      <c r="B12" s="5" t="s">
        <v>540</v>
      </c>
      <c r="C12" s="21" t="s">
        <v>514</v>
      </c>
      <c r="D12" s="21" t="s">
        <v>541</v>
      </c>
      <c r="E12" s="20" t="s">
        <v>542</v>
      </c>
    </row>
    <row r="13" ht="26" customHeight="1" spans="1:5">
      <c r="A13" s="18" t="s">
        <v>543</v>
      </c>
      <c r="B13" s="7" t="s">
        <v>544</v>
      </c>
      <c r="C13" s="19" t="s">
        <v>514</v>
      </c>
      <c r="D13" s="19" t="s">
        <v>545</v>
      </c>
      <c r="E13" s="18" t="s">
        <v>546</v>
      </c>
    </row>
    <row r="16" ht="26" customHeight="1" spans="1:5">
      <c r="A16" s="3" t="s">
        <v>547</v>
      </c>
    </row>
    <row r="17" ht="22" customHeight="1" spans="1:5">
      <c r="A17" s="17" t="s">
        <v>404</v>
      </c>
      <c r="B17" s="14" t="s">
        <v>405</v>
      </c>
      <c r="C17" s="22" t="s">
        <v>104</v>
      </c>
      <c r="D17" s="22" t="s">
        <v>104</v>
      </c>
      <c r="E17" s="22" t="s">
        <v>104</v>
      </c>
    </row>
    <row r="18" ht="22" customHeight="1" spans="1:5">
      <c r="A18" s="21" t="s">
        <v>548</v>
      </c>
      <c r="B18" s="5" t="s">
        <v>549</v>
      </c>
      <c r="C18" s="23" t="s">
        <v>104</v>
      </c>
      <c r="D18" s="23" t="s">
        <v>104</v>
      </c>
      <c r="E18" s="23" t="s">
        <v>104</v>
      </c>
    </row>
    <row r="19" ht="22" customHeight="1" spans="1:5">
      <c r="A19" s="21" t="s">
        <v>550</v>
      </c>
      <c r="B19" s="5" t="s">
        <v>551</v>
      </c>
      <c r="C19" s="23" t="s">
        <v>104</v>
      </c>
      <c r="D19" s="23" t="s">
        <v>104</v>
      </c>
      <c r="E19" s="23" t="s">
        <v>104</v>
      </c>
    </row>
    <row r="20" ht="22" customHeight="1" spans="1:5">
      <c r="A20" s="21" t="s">
        <v>552</v>
      </c>
      <c r="B20" s="5" t="s">
        <v>553</v>
      </c>
      <c r="C20" s="23" t="s">
        <v>104</v>
      </c>
      <c r="D20" s="23" t="s">
        <v>104</v>
      </c>
      <c r="E20" s="23" t="s">
        <v>104</v>
      </c>
    </row>
    <row r="21" ht="22" customHeight="1" spans="1:5">
      <c r="A21" s="21" t="s">
        <v>554</v>
      </c>
      <c r="B21" s="5" t="s">
        <v>555</v>
      </c>
      <c r="C21" s="23" t="s">
        <v>104</v>
      </c>
      <c r="D21" s="23" t="s">
        <v>104</v>
      </c>
      <c r="E21" s="23" t="s">
        <v>104</v>
      </c>
    </row>
    <row r="22" ht="22" customHeight="1" spans="1:5">
      <c r="A22" s="21" t="s">
        <v>556</v>
      </c>
      <c r="B22" s="5" t="s">
        <v>557</v>
      </c>
      <c r="C22" s="23" t="s">
        <v>104</v>
      </c>
      <c r="D22" s="23" t="s">
        <v>104</v>
      </c>
      <c r="E22" s="23" t="s">
        <v>104</v>
      </c>
    </row>
    <row r="23" ht="22" customHeight="1" spans="1:5">
      <c r="A23" s="21" t="s">
        <v>558</v>
      </c>
      <c r="B23" s="5" t="s">
        <v>559</v>
      </c>
      <c r="C23" s="23" t="s">
        <v>104</v>
      </c>
      <c r="D23" s="23" t="s">
        <v>104</v>
      </c>
      <c r="E23" s="23" t="s">
        <v>104</v>
      </c>
    </row>
  </sheetData>
  <mergeCells count="3">
    <mergeCell ref="A1:E1"/>
    <mergeCell ref="A3:E3"/>
    <mergeCell ref="A16:E16"/>
  </mergeCells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6B7280"/>
  </sheetPr>
  <dimension ref="A1:B39"/>
  <sheetViews>
    <sheetView showGridLines="0" topLeftCell="A20" workbookViewId="0">
      <selection activeCell="A1" sqref="A1:B1"/>
    </sheetView>
  </sheetViews>
  <sheetFormatPr defaultColWidth="9" defaultRowHeight="16.8" outlineLevelCol="1"/>
  <cols>
    <col min="1" max="1" width="22" customWidth="1"/>
    <col min="2" max="2" width="60" customWidth="1"/>
  </cols>
  <sheetData>
    <row r="1" ht="36" customHeight="1" spans="1:2">
      <c r="A1" s="1" t="s">
        <v>560</v>
      </c>
    </row>
    <row r="2" spans="1:2">
      <c r="A2" s="2" t="s">
        <v>561</v>
      </c>
    </row>
    <row r="4" ht="26" customHeight="1" spans="1:2">
      <c r="A4" s="3" t="s">
        <v>562</v>
      </c>
    </row>
    <row r="5" ht="24" customHeight="1" spans="1:2">
      <c r="A5" s="4" t="s">
        <v>563</v>
      </c>
      <c r="B5" s="5" t="s">
        <v>564</v>
      </c>
    </row>
    <row r="6" ht="24" customHeight="1" spans="1:2">
      <c r="A6" s="6" t="s">
        <v>565</v>
      </c>
      <c r="B6" s="7" t="s">
        <v>566</v>
      </c>
    </row>
    <row r="7" ht="24" customHeight="1" spans="1:2">
      <c r="A7" s="4" t="s">
        <v>567</v>
      </c>
      <c r="B7" s="5" t="s">
        <v>568</v>
      </c>
    </row>
    <row r="8" ht="24" customHeight="1" spans="1:2">
      <c r="A8" s="6" t="s">
        <v>569</v>
      </c>
      <c r="B8" s="7" t="s">
        <v>570</v>
      </c>
    </row>
    <row r="9" ht="24" customHeight="1" spans="1:2">
      <c r="A9" s="4" t="s">
        <v>571</v>
      </c>
      <c r="B9" s="5" t="s">
        <v>572</v>
      </c>
    </row>
    <row r="10" ht="24" customHeight="1" spans="1:2">
      <c r="A10" s="6" t="s">
        <v>573</v>
      </c>
      <c r="B10" s="7" t="s">
        <v>574</v>
      </c>
    </row>
    <row r="11" ht="24" customHeight="1" spans="1:2">
      <c r="A11" s="4" t="s">
        <v>575</v>
      </c>
      <c r="B11" s="5" t="s">
        <v>576</v>
      </c>
    </row>
    <row r="12" ht="24" customHeight="1" spans="1:2">
      <c r="A12" s="6" t="s">
        <v>577</v>
      </c>
      <c r="B12" s="7" t="s">
        <v>578</v>
      </c>
    </row>
    <row r="14" ht="26" customHeight="1" spans="1:2">
      <c r="A14" s="3" t="s">
        <v>579</v>
      </c>
    </row>
    <row r="15" ht="22" customHeight="1" spans="1:2">
      <c r="A15" s="8" t="s">
        <v>580</v>
      </c>
      <c r="B15" s="5" t="s">
        <v>581</v>
      </c>
    </row>
    <row r="16" ht="22" customHeight="1" spans="1:2">
      <c r="A16" s="9" t="s">
        <v>582</v>
      </c>
      <c r="B16" s="5" t="s">
        <v>583</v>
      </c>
    </row>
    <row r="17" ht="22" customHeight="1" spans="1:2">
      <c r="A17" s="10" t="s">
        <v>584</v>
      </c>
      <c r="B17" s="5" t="s">
        <v>585</v>
      </c>
    </row>
    <row r="18" ht="22" customHeight="1" spans="1:2">
      <c r="A18" s="11" t="s">
        <v>586</v>
      </c>
      <c r="B18" s="5" t="s">
        <v>587</v>
      </c>
    </row>
    <row r="19" ht="22" customHeight="1" spans="1:2">
      <c r="A19" s="12" t="s">
        <v>588</v>
      </c>
      <c r="B19" s="5" t="s">
        <v>589</v>
      </c>
    </row>
    <row r="20" ht="22" customHeight="1" spans="1:2">
      <c r="A20" s="13" t="s">
        <v>590</v>
      </c>
      <c r="B20" s="5" t="s">
        <v>591</v>
      </c>
    </row>
    <row r="22" ht="26" customHeight="1" spans="1:2">
      <c r="A22" s="3" t="s">
        <v>592</v>
      </c>
    </row>
    <row r="23" ht="24" customHeight="1" spans="1:2">
      <c r="A23" s="14" t="s">
        <v>593</v>
      </c>
      <c r="B23" s="14" t="s">
        <v>594</v>
      </c>
    </row>
    <row r="24" ht="24" customHeight="1" spans="1:2">
      <c r="A24" s="6" t="s">
        <v>595</v>
      </c>
      <c r="B24" s="15" t="s">
        <v>596</v>
      </c>
    </row>
    <row r="25" ht="24" customHeight="1" spans="1:2">
      <c r="A25" s="4" t="s">
        <v>597</v>
      </c>
      <c r="B25" s="16" t="s">
        <v>598</v>
      </c>
    </row>
    <row r="26" ht="24" customHeight="1" spans="1:2">
      <c r="A26" s="6" t="s">
        <v>599</v>
      </c>
      <c r="B26" s="15" t="s">
        <v>600</v>
      </c>
    </row>
    <row r="27" ht="24" customHeight="1" spans="1:2">
      <c r="A27" s="4" t="s">
        <v>601</v>
      </c>
      <c r="B27" s="16" t="s">
        <v>602</v>
      </c>
    </row>
    <row r="28" ht="24" customHeight="1" spans="1:2">
      <c r="A28" s="6" t="s">
        <v>603</v>
      </c>
      <c r="B28" s="15" t="s">
        <v>604</v>
      </c>
    </row>
    <row r="29" ht="24" customHeight="1" spans="1:2">
      <c r="A29" s="4" t="s">
        <v>605</v>
      </c>
      <c r="B29" s="16" t="s">
        <v>606</v>
      </c>
    </row>
    <row r="30" ht="24" customHeight="1" spans="1:2">
      <c r="A30" s="6" t="s">
        <v>607</v>
      </c>
      <c r="B30" s="15" t="s">
        <v>608</v>
      </c>
    </row>
    <row r="31" ht="24" customHeight="1" spans="1:2">
      <c r="A31" s="4" t="s">
        <v>609</v>
      </c>
      <c r="B31" s="16" t="s">
        <v>610</v>
      </c>
    </row>
    <row r="33" ht="26" customHeight="1" spans="1:2">
      <c r="A33" s="3" t="s">
        <v>611</v>
      </c>
    </row>
    <row r="34" ht="22" customHeight="1" spans="1:2">
      <c r="A34" s="4" t="s">
        <v>612</v>
      </c>
      <c r="B34" s="5" t="s">
        <v>613</v>
      </c>
    </row>
    <row r="35" ht="22" customHeight="1" spans="1:2">
      <c r="A35" s="6" t="s">
        <v>614</v>
      </c>
      <c r="B35" s="7" t="s">
        <v>615</v>
      </c>
    </row>
    <row r="36" ht="22" customHeight="1" spans="1:2">
      <c r="A36" s="4" t="s">
        <v>616</v>
      </c>
      <c r="B36" s="5" t="s">
        <v>617</v>
      </c>
    </row>
    <row r="37" ht="22" customHeight="1" spans="1:2">
      <c r="A37" s="6" t="s">
        <v>618</v>
      </c>
      <c r="B37" s="7" t="s">
        <v>619</v>
      </c>
    </row>
    <row r="38" ht="22" customHeight="1" spans="1:2">
      <c r="A38" s="4" t="s">
        <v>620</v>
      </c>
      <c r="B38" s="5" t="s">
        <v>621</v>
      </c>
    </row>
    <row r="39" ht="22" customHeight="1" spans="1:2">
      <c r="A39" s="6" t="s">
        <v>622</v>
      </c>
      <c r="B39" s="7" t="s">
        <v>623</v>
      </c>
    </row>
  </sheetData>
  <mergeCells count="6">
    <mergeCell ref="A1:B1"/>
    <mergeCell ref="A2:B2"/>
    <mergeCell ref="A4:B4"/>
    <mergeCell ref="A14:B14"/>
    <mergeCell ref="A22:B22"/>
    <mergeCell ref="A33:B3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决策台</vt:lpstr>
      <vt:lpstr>精算成本 07-29</vt:lpstr>
      <vt:lpstr>方案对比</vt:lpstr>
      <vt:lpstr>情景分析</vt:lpstr>
      <vt:lpstr>铝价锁价</vt:lpstr>
      <vt:lpstr>外汇锁汇</vt:lpstr>
      <vt:lpstr>供应商清单</vt:lpstr>
      <vt:lpstr>使用说明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G</cp:lastModifiedBy>
  <dcterms:created xsi:type="dcterms:W3CDTF">2026-07-29T10:47:00Z</dcterms:created>
  <dcterms:modified xsi:type="dcterms:W3CDTF">2026-07-29T10:58:51Z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2052-12.1.26026.26026</vt:lpwstr>
  </property>
  <property fmtid="{D5CDD505-2E9C-101B-9397-08002B2CF9AE}" pid="3" name="CalculationRule">
    <vt:i4>0</vt:i4>
  </property>
  <property fmtid="{D5CDD505-2E9C-101B-9397-08002B2CF9AE}" pid="4" name="ICV">
    <vt:lpwstr>B11AB909BEB07BE66A6C696A6B73B1AB_42</vt:lpwstr>
  </property>
</Properties>
</file>